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rjuela\Downloads\"/>
    </mc:Choice>
  </mc:AlternateContent>
  <xr:revisionPtr revIDLastSave="0" documentId="8_{A5363E1D-40EA-4BC4-B44A-1832A54F0144}" xr6:coauthVersionLast="47" xr6:coauthVersionMax="47" xr10:uidLastSave="{00000000-0000-0000-0000-000000000000}"/>
  <bookViews>
    <workbookView xWindow="0" yWindow="0" windowWidth="21315" windowHeight="12165" xr2:uid="{00000000-000D-0000-FFFF-FFFF00000000}"/>
  </bookViews>
  <sheets>
    <sheet name="SITUACION INICIAL - 2021 Y 2022" sheetId="1" r:id="rId1"/>
    <sheet name="SUPUESTO1_AÑO 2023" sheetId="3" r:id="rId2"/>
    <sheet name="SUPUESTO2_AÑO 2024" sheetId="12" r:id="rId3"/>
    <sheet name="Hoja7" sheetId="7" state="hidden" r:id="rId4"/>
    <sheet name="SUPUESTO3_AÑO 2025" sheetId="13" r:id="rId5"/>
    <sheet name="SUPUESTO4_AÑO 2025" sheetId="14" r:id="rId6"/>
    <sheet name="Hoja9" sheetId="9" state="hidden" r:id="rId7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" l="1"/>
  <c r="E6" i="12"/>
  <c r="D6" i="12"/>
  <c r="G7" i="1" l="1"/>
  <c r="F7" i="1"/>
  <c r="E7" i="1"/>
  <c r="D7" i="1"/>
  <c r="C16" i="1"/>
  <c r="C11" i="14"/>
  <c r="D11" i="14" s="1"/>
  <c r="K6" i="14"/>
  <c r="J6" i="14"/>
  <c r="E6" i="14" s="1"/>
  <c r="I6" i="14"/>
  <c r="D6" i="14" s="1"/>
  <c r="H4" i="14"/>
  <c r="C4" i="14" s="1"/>
  <c r="H3" i="14"/>
  <c r="C3" i="14" s="1"/>
  <c r="H2" i="14"/>
  <c r="C2" i="14" s="1"/>
  <c r="I6" i="13"/>
  <c r="D6" i="13" s="1"/>
  <c r="J6" i="13"/>
  <c r="E6" i="13" s="1"/>
  <c r="K6" i="13"/>
  <c r="F6" i="13" s="1"/>
  <c r="H3" i="13"/>
  <c r="C3" i="13" s="1"/>
  <c r="H4" i="13"/>
  <c r="C4" i="13" s="1"/>
  <c r="H2" i="13"/>
  <c r="C2" i="13" s="1"/>
  <c r="C11" i="13"/>
  <c r="D11" i="13" s="1"/>
  <c r="F6" i="14" l="1"/>
  <c r="I6" i="12"/>
  <c r="J6" i="12"/>
  <c r="K6" i="12"/>
  <c r="I7" i="12"/>
  <c r="J7" i="12"/>
  <c r="K7" i="12"/>
  <c r="H4" i="12"/>
  <c r="H3" i="12"/>
  <c r="C11" i="12"/>
  <c r="D11" i="12" s="1"/>
  <c r="H7" i="12"/>
  <c r="C11" i="3"/>
  <c r="H7" i="3"/>
  <c r="C7" i="12" s="1"/>
  <c r="I7" i="3"/>
  <c r="J7" i="3"/>
  <c r="K7" i="3"/>
  <c r="I6" i="3"/>
  <c r="J6" i="3"/>
  <c r="K6" i="3"/>
  <c r="H6" i="3"/>
  <c r="C6" i="12" s="1"/>
  <c r="H3" i="3"/>
  <c r="H4" i="3"/>
  <c r="H2" i="3"/>
  <c r="C2" i="3" s="1"/>
  <c r="H2" i="12" s="1"/>
  <c r="D7" i="3"/>
  <c r="E7" i="3"/>
  <c r="F7" i="3"/>
  <c r="C7" i="3"/>
  <c r="C6" i="3"/>
  <c r="H6" i="12" s="1"/>
  <c r="D8" i="3" l="1"/>
  <c r="D7" i="12"/>
  <c r="F8" i="3"/>
  <c r="F7" i="12"/>
  <c r="K7" i="13" s="1"/>
  <c r="E8" i="3"/>
  <c r="E7" i="12"/>
  <c r="E8" i="12" s="1"/>
  <c r="H6" i="13"/>
  <c r="C6" i="13" s="1"/>
  <c r="H6" i="14"/>
  <c r="C6" i="14" s="1"/>
  <c r="D8" i="12"/>
  <c r="I7" i="14"/>
  <c r="I7" i="13"/>
  <c r="J7" i="13"/>
  <c r="F8" i="12"/>
  <c r="K7" i="14"/>
  <c r="H7" i="13"/>
  <c r="H7" i="14"/>
  <c r="K8" i="12"/>
  <c r="J8" i="12"/>
  <c r="I8" i="12"/>
  <c r="H8" i="12"/>
  <c r="C8" i="12"/>
  <c r="K8" i="3"/>
  <c r="J8" i="3"/>
  <c r="I8" i="3"/>
  <c r="H8" i="3"/>
  <c r="C8" i="3"/>
  <c r="J7" i="14" l="1"/>
  <c r="E7" i="14"/>
  <c r="E8" i="14" s="1"/>
  <c r="J8" i="14"/>
  <c r="D7" i="13"/>
  <c r="D8" i="13" s="1"/>
  <c r="I8" i="13"/>
  <c r="F7" i="14"/>
  <c r="F8" i="14" s="1"/>
  <c r="K8" i="14"/>
  <c r="E7" i="13"/>
  <c r="E8" i="13" s="1"/>
  <c r="J8" i="13"/>
  <c r="D7" i="14"/>
  <c r="D8" i="14" s="1"/>
  <c r="I8" i="14"/>
  <c r="F7" i="13"/>
  <c r="F8" i="13" s="1"/>
  <c r="K8" i="13"/>
  <c r="C7" i="14"/>
  <c r="C8" i="14" s="1"/>
  <c r="H8" i="14"/>
  <c r="C7" i="13"/>
  <c r="C8" i="13" s="1"/>
  <c r="H8" i="13"/>
  <c r="C20" i="1" l="1"/>
  <c r="C24" i="1" s="1"/>
  <c r="C12" i="14" l="1"/>
  <c r="C12" i="13"/>
  <c r="C12" i="12"/>
  <c r="C12" i="3"/>
  <c r="F20" i="1"/>
  <c r="E20" i="1"/>
  <c r="D20" i="1"/>
  <c r="C25" i="1" s="1"/>
  <c r="F19" i="1"/>
  <c r="C13" i="12" l="1"/>
  <c r="D12" i="12"/>
  <c r="D12" i="13"/>
  <c r="C13" i="13"/>
  <c r="D12" i="14"/>
  <c r="C13" i="14"/>
  <c r="C26" i="1"/>
  <c r="C27" i="1" s="1"/>
  <c r="C14" i="14" l="1"/>
  <c r="D13" i="14"/>
  <c r="C14" i="13"/>
  <c r="D13" i="13"/>
  <c r="D13" i="12"/>
  <c r="C14" i="12"/>
  <c r="N12" i="9"/>
  <c r="N13" i="9" s="1"/>
  <c r="N17" i="9"/>
  <c r="N21" i="9" s="1"/>
  <c r="N22" i="9" s="1"/>
  <c r="R12" i="9"/>
  <c r="R13" i="9"/>
  <c r="C10" i="7"/>
  <c r="C11" i="7" s="1"/>
  <c r="D9" i="7"/>
  <c r="E5" i="7"/>
  <c r="F5" i="7" s="1"/>
  <c r="D11" i="3"/>
  <c r="D23" i="1"/>
  <c r="N18" i="9" l="1"/>
  <c r="C15" i="12"/>
  <c r="D15" i="12" s="1"/>
  <c r="D18" i="12" s="1"/>
  <c r="D19" i="12" s="1"/>
  <c r="D20" i="12" s="1"/>
  <c r="D14" i="12"/>
  <c r="C15" i="13"/>
  <c r="D15" i="13" s="1"/>
  <c r="D18" i="13" s="1"/>
  <c r="D14" i="13"/>
  <c r="D14" i="14"/>
  <c r="C15" i="14"/>
  <c r="D15" i="14" s="1"/>
  <c r="D18" i="14" s="1"/>
  <c r="N23" i="9"/>
  <c r="N26" i="9" s="1"/>
  <c r="R17" i="9"/>
  <c r="R18" i="9" s="1"/>
  <c r="R21" i="9"/>
  <c r="R22" i="9" s="1"/>
  <c r="R23" i="9" s="1"/>
  <c r="C13" i="3"/>
  <c r="D10" i="7"/>
  <c r="D24" i="1"/>
  <c r="D12" i="3"/>
  <c r="D11" i="7"/>
  <c r="C12" i="7"/>
  <c r="G14" i="12" l="1"/>
  <c r="G15" i="12"/>
  <c r="G13" i="12"/>
  <c r="G12" i="12"/>
  <c r="G11" i="12"/>
  <c r="H11" i="12" s="1"/>
  <c r="I11" i="12" s="1"/>
  <c r="E12" i="12" s="1"/>
  <c r="F12" i="12" s="1"/>
  <c r="H12" i="12" s="1"/>
  <c r="I12" i="12" s="1"/>
  <c r="E13" i="12" s="1"/>
  <c r="F13" i="12" s="1"/>
  <c r="H13" i="12" s="1"/>
  <c r="I13" i="12" s="1"/>
  <c r="R26" i="9"/>
  <c r="R27" i="9" s="1"/>
  <c r="R28" i="9" s="1"/>
  <c r="N27" i="9"/>
  <c r="N28" i="9" s="1"/>
  <c r="D12" i="7"/>
  <c r="C13" i="7"/>
  <c r="D13" i="7" s="1"/>
  <c r="D16" i="7" s="1"/>
  <c r="C14" i="3"/>
  <c r="C15" i="3" s="1"/>
  <c r="D13" i="3"/>
  <c r="D25" i="1"/>
  <c r="G14" i="14" l="1"/>
  <c r="G14" i="13"/>
  <c r="G11" i="14"/>
  <c r="H11" i="14" s="1"/>
  <c r="I11" i="14" s="1"/>
  <c r="E12" i="14" s="1"/>
  <c r="F12" i="14" s="1"/>
  <c r="G11" i="13"/>
  <c r="G12" i="14"/>
  <c r="G12" i="13"/>
  <c r="G13" i="14"/>
  <c r="G13" i="13"/>
  <c r="G15" i="14"/>
  <c r="G15" i="13"/>
  <c r="F29" i="13" s="1"/>
  <c r="E14" i="12"/>
  <c r="F14" i="12" s="1"/>
  <c r="C24" i="12"/>
  <c r="F33" i="12"/>
  <c r="D27" i="1"/>
  <c r="D29" i="1" s="1"/>
  <c r="D30" i="1" s="1"/>
  <c r="D31" i="1" s="1"/>
  <c r="D26" i="1"/>
  <c r="D15" i="3"/>
  <c r="D18" i="3" s="1"/>
  <c r="D19" i="3" s="1"/>
  <c r="D20" i="3" s="1"/>
  <c r="D14" i="3"/>
  <c r="D17" i="7"/>
  <c r="D18" i="7" s="1"/>
  <c r="H12" i="14" l="1"/>
  <c r="I12" i="14" s="1"/>
  <c r="E13" i="14" s="1"/>
  <c r="F13" i="14" s="1"/>
  <c r="H13" i="14" s="1"/>
  <c r="I13" i="14" s="1"/>
  <c r="E14" i="14" s="1"/>
  <c r="F14" i="14" s="1"/>
  <c r="H14" i="14" s="1"/>
  <c r="I14" i="14" s="1"/>
  <c r="D22" i="14" s="1"/>
  <c r="G25" i="1"/>
  <c r="G23" i="1"/>
  <c r="H23" i="1" s="1"/>
  <c r="I23" i="1" s="1"/>
  <c r="J11" i="3" s="1"/>
  <c r="G26" i="1"/>
  <c r="G24" i="1"/>
  <c r="F49" i="1" s="1"/>
  <c r="G27" i="1"/>
  <c r="G12" i="3"/>
  <c r="G11" i="3"/>
  <c r="H11" i="3" s="1"/>
  <c r="I11" i="3" s="1"/>
  <c r="G15" i="3"/>
  <c r="G14" i="3"/>
  <c r="G13" i="3"/>
  <c r="F33" i="3" s="1"/>
  <c r="F57" i="12"/>
  <c r="H14" i="12"/>
  <c r="I14" i="12" s="1"/>
  <c r="E15" i="12" s="1"/>
  <c r="F15" i="12" s="1"/>
  <c r="H15" i="12" s="1"/>
  <c r="I15" i="12" s="1"/>
  <c r="C25" i="12"/>
  <c r="C26" i="12" s="1"/>
  <c r="G36" i="12"/>
  <c r="G37" i="12" s="1"/>
  <c r="F37" i="12"/>
  <c r="D19" i="7"/>
  <c r="G9" i="7"/>
  <c r="H9" i="7" s="1"/>
  <c r="I9" i="7" s="1"/>
  <c r="E10" i="7" s="1"/>
  <c r="F10" i="7" s="1"/>
  <c r="G10" i="7"/>
  <c r="G13" i="7"/>
  <c r="G11" i="7"/>
  <c r="G12" i="7"/>
  <c r="E15" i="14" l="1"/>
  <c r="F15" i="14" s="1"/>
  <c r="H15" i="14" s="1"/>
  <c r="I15" i="14" s="1"/>
  <c r="D19" i="14" s="1"/>
  <c r="D20" i="14" s="1"/>
  <c r="F30" i="14"/>
  <c r="G60" i="12"/>
  <c r="G61" i="12" s="1"/>
  <c r="F61" i="12"/>
  <c r="G36" i="3"/>
  <c r="F37" i="3"/>
  <c r="E12" i="3"/>
  <c r="F12" i="3" s="1"/>
  <c r="H12" i="3" s="1"/>
  <c r="J11" i="12"/>
  <c r="E24" i="1"/>
  <c r="F24" i="1" s="1"/>
  <c r="G41" i="1"/>
  <c r="F38" i="1" s="1"/>
  <c r="F42" i="1" s="1"/>
  <c r="H10" i="7"/>
  <c r="I10" i="7" s="1"/>
  <c r="E11" i="7" s="1"/>
  <c r="F11" i="7" s="1"/>
  <c r="H11" i="7" s="1"/>
  <c r="I11" i="7" s="1"/>
  <c r="E12" i="7" s="1"/>
  <c r="F12" i="7" s="1"/>
  <c r="H12" i="7" s="1"/>
  <c r="I12" i="7" s="1"/>
  <c r="G42" i="1" l="1"/>
  <c r="G33" i="14"/>
  <c r="G34" i="14" s="1"/>
  <c r="F34" i="14"/>
  <c r="G37" i="14"/>
  <c r="G37" i="3"/>
  <c r="H24" i="1"/>
  <c r="I24" i="1" s="1"/>
  <c r="F52" i="1"/>
  <c r="I12" i="3"/>
  <c r="F17" i="7"/>
  <c r="F18" i="7" s="1"/>
  <c r="E13" i="7"/>
  <c r="E25" i="1" l="1"/>
  <c r="F25" i="1" s="1"/>
  <c r="H25" i="1" s="1"/>
  <c r="I25" i="1" s="1"/>
  <c r="E26" i="1" s="1"/>
  <c r="F26" i="1" s="1"/>
  <c r="H26" i="1" s="1"/>
  <c r="I26" i="1" s="1"/>
  <c r="E27" i="1" s="1"/>
  <c r="F27" i="1" s="1"/>
  <c r="H27" i="1" s="1"/>
  <c r="I27" i="1" s="1"/>
  <c r="J12" i="3"/>
  <c r="D24" i="3" s="1"/>
  <c r="D26" i="3" s="1"/>
  <c r="C24" i="3"/>
  <c r="J12" i="12"/>
  <c r="E13" i="3"/>
  <c r="F13" i="3" s="1"/>
  <c r="F57" i="3" s="1"/>
  <c r="F13" i="7"/>
  <c r="H13" i="7" s="1"/>
  <c r="I13" i="7" s="1"/>
  <c r="F16" i="7"/>
  <c r="F19" i="7" s="1"/>
  <c r="K12" i="3" l="1"/>
  <c r="G48" i="3" s="1"/>
  <c r="G49" i="3" s="1"/>
  <c r="F61" i="3"/>
  <c r="G60" i="3"/>
  <c r="G61" i="3" s="1"/>
  <c r="E24" i="3"/>
  <c r="E26" i="3" s="1"/>
  <c r="C25" i="3"/>
  <c r="C26" i="3" s="1"/>
  <c r="H13" i="3"/>
  <c r="I13" i="3" s="1"/>
  <c r="J13" i="12" s="1"/>
  <c r="F45" i="3" l="1"/>
  <c r="F49" i="3" s="1"/>
  <c r="D24" i="12"/>
  <c r="K13" i="12"/>
  <c r="F45" i="12" s="1"/>
  <c r="E14" i="3"/>
  <c r="F14" i="3" s="1"/>
  <c r="H14" i="3" s="1"/>
  <c r="I14" i="3" s="1"/>
  <c r="E15" i="3" s="1"/>
  <c r="F15" i="3" s="1"/>
  <c r="H15" i="3" s="1"/>
  <c r="I15" i="3" s="1"/>
  <c r="G63" i="3" l="1"/>
  <c r="F49" i="12"/>
  <c r="G48" i="12"/>
  <c r="D26" i="12"/>
  <c r="E24" i="12"/>
  <c r="E26" i="12" s="1"/>
  <c r="G55" i="1"/>
  <c r="G56" i="1" s="1"/>
  <c r="F56" i="1"/>
  <c r="G49" i="12" l="1"/>
  <c r="G63" i="12"/>
  <c r="G58" i="1"/>
  <c r="H11" i="13" l="1"/>
  <c r="I11" i="13" s="1"/>
  <c r="E12" i="13" s="1"/>
  <c r="F12" i="13" s="1"/>
  <c r="H12" i="13" s="1"/>
  <c r="I12" i="13" s="1"/>
  <c r="E13" i="13" s="1"/>
  <c r="F13" i="13" s="1"/>
  <c r="H13" i="13" s="1"/>
  <c r="I13" i="13" s="1"/>
  <c r="E14" i="13" l="1"/>
  <c r="F14" i="13" s="1"/>
  <c r="G32" i="13"/>
  <c r="F33" i="13"/>
  <c r="H14" i="13" l="1"/>
  <c r="I14" i="13" s="1"/>
  <c r="D22" i="13" s="1"/>
  <c r="G33" i="13"/>
  <c r="E15" i="13" l="1"/>
  <c r="F15" i="13" s="1"/>
  <c r="H15" i="13" l="1"/>
  <c r="I15" i="13" s="1"/>
  <c r="D19" i="13" s="1"/>
  <c r="D20" i="13" s="1"/>
  <c r="F53" i="13" s="1"/>
  <c r="F41" i="13"/>
  <c r="F45" i="13" l="1"/>
  <c r="G44" i="13"/>
  <c r="F56" i="13" l="1"/>
  <c r="F58" i="13" s="1"/>
  <c r="G61" i="13"/>
  <c r="G45" i="13"/>
  <c r="G57" i="13" l="1"/>
  <c r="G58" i="13" s="1"/>
</calcChain>
</file>

<file path=xl/sharedStrings.xml><?xml version="1.0" encoding="utf-8"?>
<sst xmlns="http://schemas.openxmlformats.org/spreadsheetml/2006/main" count="375" uniqueCount="130">
  <si>
    <t>SITUACION INICIAL</t>
  </si>
  <si>
    <t>Fecha de Ingreso del empleado</t>
  </si>
  <si>
    <r>
      <t xml:space="preserve">Asignación Básica 
Año base 2020 - Profesional 23
</t>
    </r>
    <r>
      <rPr>
        <b/>
        <sz val="9"/>
        <color rgb="FF000000"/>
        <rFont val="Calibri"/>
        <family val="2"/>
      </rPr>
      <t>Decreto Distrital No. 103 de 2021</t>
    </r>
  </si>
  <si>
    <t>Valor estimado del Incremento Salarial por vigencia</t>
  </si>
  <si>
    <t>IPC último año conocido (año 2020)</t>
  </si>
  <si>
    <t>% adicional</t>
  </si>
  <si>
    <t>Porcentaje de permanencia (según tipo de cargo)</t>
  </si>
  <si>
    <t>Carrera administrativa</t>
  </si>
  <si>
    <t>Libre nombramiento y remoción</t>
  </si>
  <si>
    <t>Planta provisional</t>
  </si>
  <si>
    <t>Planta temporal</t>
  </si>
  <si>
    <t>Tasa de descuento TES a cinco años (Banco de la República - diciembre 2021)</t>
  </si>
  <si>
    <t>Valor del Beneficio</t>
  </si>
  <si>
    <t>del total anual recibido en el quinto año por asignación básica mensual</t>
  </si>
  <si>
    <t>Periodo de reconocimiento</t>
  </si>
  <si>
    <t>Cada vez que cumplan de forma continua cinco (5) años de vínculo laboral en la entidad</t>
  </si>
  <si>
    <t>SUPUESTOS</t>
  </si>
  <si>
    <t>TES</t>
  </si>
  <si>
    <t>% Permanencia</t>
  </si>
  <si>
    <t>Beneficio</t>
  </si>
  <si>
    <t>% Incremento salarial</t>
  </si>
  <si>
    <t>AÑO</t>
  </si>
  <si>
    <t>VIGENCIA</t>
  </si>
  <si>
    <t>ASIGNACIÓN BÁSICA MENSUAL</t>
  </si>
  <si>
    <t>ASIGNACIÓN  BÁSICA ANUAL</t>
  </si>
  <si>
    <t xml:space="preserve">SALDO INICIAL </t>
  </si>
  <si>
    <t>INTERÉS SOBRE EL PASIVO - ACTUALIZACIÓN FINANCIERA</t>
  </si>
  <si>
    <t>COSTO DEL SERVICIO PRESENTE</t>
  </si>
  <si>
    <t>TOTAL BENEFICIO CAUSADO EN LA VIGENCIA</t>
  </si>
  <si>
    <t xml:space="preserve">TOTAL PASIVO  </t>
  </si>
  <si>
    <t xml:space="preserve">Vlr Estimado Beneficio </t>
  </si>
  <si>
    <t xml:space="preserve">Vlr Estimado Beneficio Neto </t>
  </si>
  <si>
    <t>Unidad de Crédito Proyectada (UCP)</t>
  </si>
  <si>
    <t>Reconocimiento contable a 31 de diciembre de 2021</t>
  </si>
  <si>
    <t>Cuenta</t>
  </si>
  <si>
    <t>Descripción</t>
  </si>
  <si>
    <t>DB</t>
  </si>
  <si>
    <t>CR</t>
  </si>
  <si>
    <t>PRESTACIONES SOCIALES</t>
  </si>
  <si>
    <t>Otras prestaciones sociales</t>
  </si>
  <si>
    <t>BENEFICIOS A LOS EMPLEADOS A LARGO PLAZO</t>
  </si>
  <si>
    <t>Otros beneficios a los empleados a largo plazo</t>
  </si>
  <si>
    <t>251290XX</t>
  </si>
  <si>
    <t>Reconocimiento por permanencia estimado</t>
  </si>
  <si>
    <t>TOTAL</t>
  </si>
  <si>
    <t>Reconocimiento contable a 31 de diciembre de 2022</t>
  </si>
  <si>
    <t>GASTOS DE PERSONAL DIVERSOS</t>
  </si>
  <si>
    <t>Variaciones de beneficios a los empleados a largo plazo y de beneficios por terminación del vínculo laboral o contractual</t>
  </si>
  <si>
    <t>510812XX</t>
  </si>
  <si>
    <t>Interés financiero</t>
  </si>
  <si>
    <t>TOTALES</t>
  </si>
  <si>
    <t>Saldo Acumulado del Pasivo año 2022</t>
  </si>
  <si>
    <t>SUPUESTOS ACTUARIALES AÑO 2023</t>
  </si>
  <si>
    <t>SUPUESTOS INICIALES</t>
  </si>
  <si>
    <t>Convenciones</t>
  </si>
  <si>
    <t>Información pasada</t>
  </si>
  <si>
    <t>Información actualizada</t>
  </si>
  <si>
    <t>TOTAL PASIVO  SITUACIÓN INICIAL</t>
  </si>
  <si>
    <t>AJUSTE</t>
  </si>
  <si>
    <t>UCP</t>
  </si>
  <si>
    <t>Concepto</t>
  </si>
  <si>
    <t>Supuestos actuales</t>
  </si>
  <si>
    <t>Supuestos iniciales</t>
  </si>
  <si>
    <t>Variación</t>
  </si>
  <si>
    <t>Saldo año 2022</t>
  </si>
  <si>
    <t>Interés sobre el pasivo  año 2023 - Actualización financiera</t>
  </si>
  <si>
    <t>Reconocimiento costo del servicio presente a 31 de diciembre de 2023</t>
  </si>
  <si>
    <t>Ajuste por ganancias o pérdidas actuariales por nueva información o cambio en las suposiciones actuariales.</t>
  </si>
  <si>
    <t>INGRESOS DIVERSOS</t>
  </si>
  <si>
    <t>480837XX</t>
  </si>
  <si>
    <t>Ganancias actuariales</t>
  </si>
  <si>
    <t>Actualización financiera del pasivo</t>
  </si>
  <si>
    <t>Interés Financiero</t>
  </si>
  <si>
    <t>Saldo Acumulado del Pasivo año 2023</t>
  </si>
  <si>
    <t>SUPUESTOS ACTUARIALES AÑO 2024</t>
  </si>
  <si>
    <t>Saldo año 2023</t>
  </si>
  <si>
    <t>Interés sobre el pasivo  año 2024 - Actualización financiera</t>
  </si>
  <si>
    <t>Reconocimiento costo del servicio presente a 31 de diciembre de 2024</t>
  </si>
  <si>
    <t>Pérdidas actuariales</t>
  </si>
  <si>
    <t>Saldo Acumulado del Pasivo año 2024</t>
  </si>
  <si>
    <t>SUPUESTOS ACTUARIALES 2023</t>
  </si>
  <si>
    <t>% Permanen</t>
  </si>
  <si>
    <t>% Incremento</t>
  </si>
  <si>
    <t>VIGENCIA*</t>
  </si>
  <si>
    <t>ASIGNACIÓN BASICA MENSUAL</t>
  </si>
  <si>
    <t>ASIGNACION  BASICA ANUAL</t>
  </si>
  <si>
    <t>INTERES SOBRE EL PASIVO</t>
  </si>
  <si>
    <t>TOTAL PASIVO ACTUAL</t>
  </si>
  <si>
    <t>Si Cumple</t>
  </si>
  <si>
    <t>Si NO Cumple</t>
  </si>
  <si>
    <t>Vlr Beneficio GANADO</t>
  </si>
  <si>
    <t>Vlr Beneficifio RECONOCIDO</t>
  </si>
  <si>
    <t>Ajuste FINAL</t>
  </si>
  <si>
    <t>SUPUESTOS ACTUARIALES AÑO 2025</t>
  </si>
  <si>
    <t>El funcionario sí cumple con las condiciones para hacerse acreeedor del beneficio</t>
  </si>
  <si>
    <t>Valor del beneficio ganado</t>
  </si>
  <si>
    <t>Valor del beneficio estimado</t>
  </si>
  <si>
    <t>Diferencia</t>
  </si>
  <si>
    <t>Valor del beneficio reconocido contablemente a diciembre de 2024</t>
  </si>
  <si>
    <t>Reconocimiento costo del servicio presente a 31 de diciembre de 2025</t>
  </si>
  <si>
    <t>Estimado</t>
  </si>
  <si>
    <t>Reconocimiento de la obligación real</t>
  </si>
  <si>
    <t>Ajuste en la consolidación del beneficio</t>
  </si>
  <si>
    <t>Reconocimiento por permanencia por pagar</t>
  </si>
  <si>
    <t>Saldo Acumulado del Pasivo año 2025</t>
  </si>
  <si>
    <r>
      <t>El funcionario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 cumple con las condiciones para hacerse acreeedor del beneficio</t>
    </r>
  </si>
  <si>
    <t>Reconocimiento contable a 31 de diciembre de 2025</t>
  </si>
  <si>
    <t>BENEFICIOS A LOS EMPLEADOS</t>
  </si>
  <si>
    <t>Beneficios a los empleados a largo plazo</t>
  </si>
  <si>
    <t>ENTIDAD ABC</t>
  </si>
  <si>
    <t>Estado de Situación Financiera</t>
  </si>
  <si>
    <r>
      <t>(Expresados en miles de pesos)</t>
    </r>
    <r>
      <rPr>
        <vertAlign val="superscript"/>
        <sz val="9"/>
        <rFont val="Univers 45 Light"/>
      </rPr>
      <t xml:space="preserve"> </t>
    </r>
  </si>
  <si>
    <t>SI PAGA EN DOS PERIODOS</t>
  </si>
  <si>
    <t xml:space="preserve">31 de diciembre de </t>
  </si>
  <si>
    <t xml:space="preserve">Activos </t>
  </si>
  <si>
    <t>Activo corriente</t>
  </si>
  <si>
    <t>$</t>
  </si>
  <si>
    <t xml:space="preserve">Activos no corrientes </t>
  </si>
  <si>
    <t>Total activos</t>
  </si>
  <si>
    <t>Pasivos</t>
  </si>
  <si>
    <t>Pasivo corriente</t>
  </si>
  <si>
    <t xml:space="preserve">Beneficios a empleados </t>
  </si>
  <si>
    <t>Total pasivos corrientes</t>
  </si>
  <si>
    <t>Pasivo no corriente</t>
  </si>
  <si>
    <t>Total pasivos no corrientes</t>
  </si>
  <si>
    <t>Total pasivos</t>
  </si>
  <si>
    <t xml:space="preserve">Patrimonio </t>
  </si>
  <si>
    <t>Capital Fiscal</t>
  </si>
  <si>
    <t xml:space="preserve">Total patrimonio </t>
  </si>
  <si>
    <t xml:space="preserve">Total pasivo y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</si>
</sst>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;[Red]\-&quot;$&quot;#,##0.00"/>
    <numFmt numFmtId="165" formatCode="#,##0\ ;\(#,##0\);\-"/>
    <numFmt numFmtId="166" formatCode="0.0%"/>
    <numFmt numFmtId="167" formatCode="0.00000%"/>
    <numFmt numFmtId="168" formatCode="_-* #,##0_-;\-* #,##0_-;_-* &quot;-&quot;??_-;_-@_-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name val="Univers 45 Light"/>
    </font>
    <font>
      <vertAlign val="superscript"/>
      <sz val="9"/>
      <name val="Univers 45 Light"/>
    </font>
    <font>
      <u/>
      <sz val="9"/>
      <name val="Univers 45 Light"/>
    </font>
    <font>
      <b/>
      <sz val="9"/>
      <name val="Univers 45 Light"/>
    </font>
    <font>
      <b/>
      <sz val="9"/>
      <color rgb="FFFF0000"/>
      <name val="Univers 45 Light"/>
    </font>
    <font>
      <sz val="9"/>
      <color rgb="FFFF0000"/>
      <name val="Univers 45 Light"/>
    </font>
    <font>
      <sz val="10"/>
      <name val="Univers 45 Light"/>
    </font>
    <font>
      <u/>
      <sz val="10"/>
      <name val="Univers 45 Light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9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FF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8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10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3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/>
    <xf numFmtId="0" fontId="4" fillId="0" borderId="6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3" fontId="5" fillId="3" borderId="18" xfId="0" applyNumberFormat="1" applyFont="1" applyFill="1" applyBorder="1" applyAlignment="1">
      <alignment horizontal="center" vertical="center" wrapText="1" readingOrder="1"/>
    </xf>
    <xf numFmtId="10" fontId="6" fillId="0" borderId="18" xfId="0" applyNumberFormat="1" applyFont="1" applyBorder="1" applyAlignment="1">
      <alignment horizontal="center" vertical="center" wrapText="1" readingOrder="1"/>
    </xf>
    <xf numFmtId="10" fontId="5" fillId="0" borderId="18" xfId="0" applyNumberFormat="1" applyFont="1" applyBorder="1" applyAlignment="1">
      <alignment horizontal="center" vertical="center" wrapText="1" readingOrder="1"/>
    </xf>
    <xf numFmtId="9" fontId="5" fillId="0" borderId="18" xfId="0" applyNumberFormat="1" applyFont="1" applyBorder="1" applyAlignment="1">
      <alignment horizontal="center" vertical="center" wrapText="1" readingOrder="1"/>
    </xf>
    <xf numFmtId="0" fontId="5" fillId="3" borderId="18" xfId="0" applyFont="1" applyFill="1" applyBorder="1" applyAlignment="1">
      <alignment horizontal="center" vertical="center" wrapText="1" readingOrder="1"/>
    </xf>
    <xf numFmtId="0" fontId="5" fillId="3" borderId="19" xfId="0" applyFont="1" applyFill="1" applyBorder="1" applyAlignment="1">
      <alignment horizontal="center" vertical="center" wrapText="1" readingOrder="1"/>
    </xf>
    <xf numFmtId="0" fontId="4" fillId="0" borderId="26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0" fillId="0" borderId="1" xfId="0" applyBorder="1"/>
    <xf numFmtId="0" fontId="1" fillId="0" borderId="32" xfId="0" applyFont="1" applyBorder="1" applyAlignment="1">
      <alignment horizontal="center" vertical="center"/>
    </xf>
    <xf numFmtId="14" fontId="0" fillId="0" borderId="32" xfId="0" applyNumberFormat="1" applyBorder="1"/>
    <xf numFmtId="3" fontId="0" fillId="0" borderId="32" xfId="0" applyNumberFormat="1" applyBorder="1"/>
    <xf numFmtId="0" fontId="7" fillId="0" borderId="33" xfId="0" applyFont="1" applyBorder="1" applyAlignment="1">
      <alignment horizontal="center" vertical="center"/>
    </xf>
    <xf numFmtId="14" fontId="0" fillId="0" borderId="34" xfId="0" applyNumberFormat="1" applyBorder="1"/>
    <xf numFmtId="3" fontId="0" fillId="0" borderId="34" xfId="0" applyNumberFormat="1" applyBorder="1"/>
    <xf numFmtId="0" fontId="1" fillId="0" borderId="0" xfId="0" applyFont="1" applyAlignment="1">
      <alignment horizontal="center" vertical="center"/>
    </xf>
    <xf numFmtId="14" fontId="0" fillId="0" borderId="0" xfId="0" applyNumberFormat="1"/>
    <xf numFmtId="3" fontId="1" fillId="0" borderId="39" xfId="0" applyNumberFormat="1" applyFont="1" applyBorder="1"/>
    <xf numFmtId="0" fontId="8" fillId="0" borderId="0" xfId="0" applyFont="1" applyAlignment="1">
      <alignment horizontal="center"/>
    </xf>
    <xf numFmtId="3" fontId="1" fillId="0" borderId="40" xfId="0" applyNumberFormat="1" applyFont="1" applyBorder="1"/>
    <xf numFmtId="3" fontId="8" fillId="0" borderId="0" xfId="0" applyNumberFormat="1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165" fontId="10" fillId="0" borderId="41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>
      <alignment horizontal="right" vertical="center"/>
    </xf>
    <xf numFmtId="165" fontId="10" fillId="0" borderId="37" xfId="0" applyNumberFormat="1" applyFont="1" applyBorder="1" applyAlignment="1">
      <alignment horizontal="right" vertical="center"/>
    </xf>
    <xf numFmtId="165" fontId="10" fillId="0" borderId="42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vertical="center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1" fillId="0" borderId="0" xfId="0" applyFont="1"/>
    <xf numFmtId="0" fontId="21" fillId="0" borderId="1" xfId="0" applyFont="1" applyBorder="1"/>
    <xf numFmtId="3" fontId="21" fillId="0" borderId="1" xfId="0" applyNumberFormat="1" applyFont="1" applyBorder="1"/>
    <xf numFmtId="10" fontId="0" fillId="0" borderId="0" xfId="0" applyNumberFormat="1"/>
    <xf numFmtId="0" fontId="5" fillId="0" borderId="12" xfId="0" applyFont="1" applyBorder="1" applyAlignment="1">
      <alignment vertical="center" wrapText="1" readingOrder="1"/>
    </xf>
    <xf numFmtId="43" fontId="5" fillId="0" borderId="12" xfId="1" applyFont="1" applyBorder="1" applyAlignment="1">
      <alignment vertical="center" wrapText="1" readingOrder="1"/>
    </xf>
    <xf numFmtId="166" fontId="6" fillId="0" borderId="18" xfId="0" applyNumberFormat="1" applyFont="1" applyBorder="1" applyAlignment="1">
      <alignment horizontal="center" vertical="center" wrapText="1" readingOrder="1"/>
    </xf>
    <xf numFmtId="9" fontId="23" fillId="4" borderId="18" xfId="0" applyNumberFormat="1" applyFont="1" applyFill="1" applyBorder="1" applyAlignment="1">
      <alignment horizontal="center" vertical="center" wrapText="1" readingOrder="1"/>
    </xf>
    <xf numFmtId="9" fontId="23" fillId="0" borderId="18" xfId="0" applyNumberFormat="1" applyFont="1" applyBorder="1" applyAlignment="1">
      <alignment horizontal="center" vertical="center" wrapText="1" readingOrder="1"/>
    </xf>
    <xf numFmtId="9" fontId="23" fillId="0" borderId="19" xfId="0" applyNumberFormat="1" applyFont="1" applyBorder="1" applyAlignment="1">
      <alignment horizontal="center" vertical="center" wrapText="1" readingOrder="1"/>
    </xf>
    <xf numFmtId="164" fontId="0" fillId="0" borderId="0" xfId="0" applyNumberFormat="1"/>
    <xf numFmtId="0" fontId="0" fillId="0" borderId="38" xfId="0" applyBorder="1" applyAlignment="1">
      <alignment horizontal="left"/>
    </xf>
    <xf numFmtId="0" fontId="0" fillId="0" borderId="37" xfId="0" applyBorder="1" applyAlignment="1">
      <alignment horizontal="left"/>
    </xf>
    <xf numFmtId="0" fontId="5" fillId="0" borderId="45" xfId="0" applyFont="1" applyBorder="1" applyAlignment="1">
      <alignment vertical="center" wrapText="1" readingOrder="1"/>
    </xf>
    <xf numFmtId="0" fontId="5" fillId="0" borderId="46" xfId="0" applyFont="1" applyBorder="1" applyAlignment="1">
      <alignment vertical="center" wrapText="1" readingOrder="1"/>
    </xf>
    <xf numFmtId="167" fontId="0" fillId="0" borderId="0" xfId="0" applyNumberFormat="1"/>
    <xf numFmtId="0" fontId="25" fillId="0" borderId="0" xfId="0" applyFont="1"/>
    <xf numFmtId="0" fontId="26" fillId="0" borderId="0" xfId="0" applyFont="1"/>
    <xf numFmtId="10" fontId="1" fillId="0" borderId="1" xfId="0" applyNumberFormat="1" applyFont="1" applyBorder="1"/>
    <xf numFmtId="10" fontId="0" fillId="0" borderId="1" xfId="0" applyNumberFormat="1" applyBorder="1" applyAlignment="1">
      <alignment vertical="center"/>
    </xf>
    <xf numFmtId="0" fontId="0" fillId="5" borderId="48" xfId="0" applyFill="1" applyBorder="1"/>
    <xf numFmtId="0" fontId="0" fillId="0" borderId="44" xfId="0" applyBorder="1"/>
    <xf numFmtId="0" fontId="0" fillId="6" borderId="43" xfId="0" applyFill="1" applyBorder="1"/>
    <xf numFmtId="0" fontId="0" fillId="0" borderId="49" xfId="0" applyBorder="1"/>
    <xf numFmtId="10" fontId="0" fillId="6" borderId="1" xfId="0" applyNumberFormat="1" applyFill="1" applyBorder="1"/>
    <xf numFmtId="0" fontId="2" fillId="0" borderId="0" xfId="0" applyFont="1" applyAlignment="1">
      <alignment horizontal="center" vertical="center" wrapText="1" readingOrder="1"/>
    </xf>
    <xf numFmtId="14" fontId="22" fillId="0" borderId="1" xfId="0" applyNumberFormat="1" applyFont="1" applyBorder="1"/>
    <xf numFmtId="3" fontId="22" fillId="0" borderId="1" xfId="0" applyNumberFormat="1" applyFont="1" applyBorder="1"/>
    <xf numFmtId="0" fontId="22" fillId="0" borderId="1" xfId="0" applyFont="1" applyBorder="1"/>
    <xf numFmtId="14" fontId="22" fillId="0" borderId="32" xfId="0" applyNumberFormat="1" applyFont="1" applyBorder="1"/>
    <xf numFmtId="3" fontId="22" fillId="0" borderId="32" xfId="0" applyNumberFormat="1" applyFont="1" applyBorder="1"/>
    <xf numFmtId="14" fontId="22" fillId="6" borderId="34" xfId="0" applyNumberFormat="1" applyFont="1" applyFill="1" applyBorder="1"/>
    <xf numFmtId="3" fontId="22" fillId="6" borderId="34" xfId="0" applyNumberFormat="1" applyFont="1" applyFill="1" applyBorder="1"/>
    <xf numFmtId="0" fontId="27" fillId="0" borderId="0" xfId="0" applyFont="1"/>
    <xf numFmtId="10" fontId="0" fillId="7" borderId="1" xfId="0" applyNumberFormat="1" applyFill="1" applyBorder="1"/>
    <xf numFmtId="10" fontId="1" fillId="7" borderId="1" xfId="0" applyNumberFormat="1" applyFont="1" applyFill="1" applyBorder="1"/>
    <xf numFmtId="3" fontId="22" fillId="7" borderId="1" xfId="0" applyNumberFormat="1" applyFont="1" applyFill="1" applyBorder="1"/>
    <xf numFmtId="0" fontId="27" fillId="6" borderId="33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14" fontId="22" fillId="6" borderId="35" xfId="0" applyNumberFormat="1" applyFont="1" applyFill="1" applyBorder="1"/>
    <xf numFmtId="3" fontId="22" fillId="6" borderId="35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14" fontId="22" fillId="6" borderId="1" xfId="0" applyNumberFormat="1" applyFont="1" applyFill="1" applyBorder="1"/>
    <xf numFmtId="3" fontId="22" fillId="6" borderId="1" xfId="0" applyNumberFormat="1" applyFont="1" applyFill="1" applyBorder="1"/>
    <xf numFmtId="3" fontId="22" fillId="6" borderId="32" xfId="0" applyNumberFormat="1" applyFont="1" applyFill="1" applyBorder="1"/>
    <xf numFmtId="3" fontId="28" fillId="0" borderId="1" xfId="0" applyNumberFormat="1" applyFont="1" applyBorder="1"/>
    <xf numFmtId="3" fontId="29" fillId="0" borderId="0" xfId="0" applyNumberFormat="1" applyFont="1"/>
    <xf numFmtId="3" fontId="28" fillId="6" borderId="34" xfId="0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7" fillId="6" borderId="32" xfId="0" applyFont="1" applyFill="1" applyBorder="1" applyAlignment="1">
      <alignment horizontal="center" vertical="center"/>
    </xf>
    <xf numFmtId="3" fontId="0" fillId="6" borderId="32" xfId="0" applyNumberFormat="1" applyFill="1" applyBorder="1"/>
    <xf numFmtId="0" fontId="1" fillId="6" borderId="33" xfId="0" applyFont="1" applyFill="1" applyBorder="1" applyAlignment="1">
      <alignment horizontal="center" vertical="center"/>
    </xf>
    <xf numFmtId="3" fontId="9" fillId="6" borderId="39" xfId="0" applyNumberFormat="1" applyFont="1" applyFill="1" applyBorder="1"/>
    <xf numFmtId="3" fontId="9" fillId="6" borderId="1" xfId="0" applyNumberFormat="1" applyFont="1" applyFill="1" applyBorder="1"/>
    <xf numFmtId="0" fontId="27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4" fontId="22" fillId="0" borderId="35" xfId="0" applyNumberFormat="1" applyFont="1" applyBorder="1"/>
    <xf numFmtId="3" fontId="22" fillId="0" borderId="35" xfId="0" applyNumberFormat="1" applyFont="1" applyBorder="1"/>
    <xf numFmtId="3" fontId="0" fillId="0" borderId="1" xfId="0" applyNumberFormat="1" applyBorder="1" applyAlignment="1">
      <alignment vertical="center" wrapText="1"/>
    </xf>
    <xf numFmtId="168" fontId="0" fillId="0" borderId="0" xfId="1" applyNumberFormat="1" applyFont="1"/>
    <xf numFmtId="0" fontId="1" fillId="8" borderId="1" xfId="0" applyFont="1" applyFill="1" applyBorder="1" applyAlignment="1">
      <alignment horizontal="center" vertical="center"/>
    </xf>
    <xf numFmtId="3" fontId="1" fillId="8" borderId="1" xfId="0" applyNumberFormat="1" applyFont="1" applyFill="1" applyBorder="1"/>
    <xf numFmtId="43" fontId="0" fillId="0" borderId="0" xfId="1" applyFont="1"/>
    <xf numFmtId="14" fontId="22" fillId="9" borderId="32" xfId="0" applyNumberFormat="1" applyFont="1" applyFill="1" applyBorder="1"/>
    <xf numFmtId="3" fontId="22" fillId="9" borderId="32" xfId="0" applyNumberFormat="1" applyFont="1" applyFill="1" applyBorder="1"/>
    <xf numFmtId="0" fontId="1" fillId="8" borderId="43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left" vertical="center" wrapText="1" readingOrder="1"/>
    </xf>
    <xf numFmtId="14" fontId="5" fillId="0" borderId="7" xfId="0" applyNumberFormat="1" applyFont="1" applyBorder="1" applyAlignment="1">
      <alignment horizontal="right" vertical="center" wrapText="1" readingOrder="1"/>
    </xf>
    <xf numFmtId="14" fontId="5" fillId="0" borderId="9" xfId="0" applyNumberFormat="1" applyFont="1" applyBorder="1" applyAlignment="1">
      <alignment horizontal="right" vertical="center" wrapText="1" readingOrder="1"/>
    </xf>
    <xf numFmtId="14" fontId="5" fillId="0" borderId="10" xfId="0" applyNumberFormat="1" applyFont="1" applyBorder="1" applyAlignment="1">
      <alignment horizontal="right" vertical="center" wrapText="1" readingOrder="1"/>
    </xf>
    <xf numFmtId="0" fontId="5" fillId="0" borderId="12" xfId="0" applyFont="1" applyBorder="1" applyAlignment="1">
      <alignment horizontal="left" vertical="center" wrapText="1" readingOrder="1"/>
    </xf>
    <xf numFmtId="0" fontId="5" fillId="0" borderId="13" xfId="0" applyFont="1" applyBorder="1" applyAlignment="1">
      <alignment horizontal="left" vertical="center" wrapText="1" readingOrder="1"/>
    </xf>
    <xf numFmtId="4" fontId="5" fillId="0" borderId="12" xfId="0" applyNumberFormat="1" applyFont="1" applyBorder="1" applyAlignment="1">
      <alignment horizontal="right" vertical="center" wrapText="1" readingOrder="1"/>
    </xf>
    <xf numFmtId="4" fontId="5" fillId="0" borderId="14" xfId="0" applyNumberFormat="1" applyFont="1" applyBorder="1" applyAlignment="1">
      <alignment horizontal="right" vertical="center" wrapText="1" readingOrder="1"/>
    </xf>
    <xf numFmtId="4" fontId="5" fillId="0" borderId="15" xfId="0" applyNumberFormat="1" applyFont="1" applyBorder="1" applyAlignment="1">
      <alignment horizontal="right" vertical="center" wrapText="1" readingOrder="1"/>
    </xf>
    <xf numFmtId="10" fontId="5" fillId="0" borderId="12" xfId="0" applyNumberFormat="1" applyFont="1" applyBorder="1" applyAlignment="1">
      <alignment horizontal="right" vertical="center" wrapText="1" readingOrder="1"/>
    </xf>
    <xf numFmtId="10" fontId="5" fillId="0" borderId="14" xfId="0" applyNumberFormat="1" applyFont="1" applyBorder="1" applyAlignment="1">
      <alignment horizontal="right" vertical="center" wrapText="1" readingOrder="1"/>
    </xf>
    <xf numFmtId="10" fontId="5" fillId="0" borderId="15" xfId="0" applyNumberFormat="1" applyFont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5" fillId="0" borderId="27" xfId="0" applyFont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left" vertical="center" wrapText="1" readingOrder="1"/>
    </xf>
    <xf numFmtId="0" fontId="4" fillId="0" borderId="16" xfId="0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center" vertical="center" wrapText="1" readingOrder="1"/>
    </xf>
    <xf numFmtId="0" fontId="4" fillId="0" borderId="22" xfId="0" applyFont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left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0" borderId="25" xfId="0" applyFont="1" applyBorder="1" applyAlignment="1">
      <alignment horizontal="left" vertical="center" wrapText="1" readingOrder="1"/>
    </xf>
    <xf numFmtId="0" fontId="6" fillId="0" borderId="27" xfId="0" applyFont="1" applyBorder="1" applyAlignment="1">
      <alignment horizontal="left" vertical="center" wrapText="1" readingOrder="1"/>
    </xf>
    <xf numFmtId="0" fontId="6" fillId="0" borderId="30" xfId="0" applyFont="1" applyBorder="1" applyAlignment="1">
      <alignment horizontal="left" vertical="center" wrapText="1" readingOrder="1"/>
    </xf>
    <xf numFmtId="0" fontId="6" fillId="0" borderId="31" xfId="0" applyFont="1" applyBorder="1" applyAlignment="1">
      <alignment horizontal="left" vertical="center" wrapText="1" readingOrder="1"/>
    </xf>
    <xf numFmtId="0" fontId="5" fillId="0" borderId="17" xfId="0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center" vertical="center" wrapText="1" readingOrder="1"/>
    </xf>
    <xf numFmtId="0" fontId="0" fillId="0" borderId="37" xfId="0" applyBorder="1" applyAlignment="1">
      <alignment horizontal="left"/>
    </xf>
    <xf numFmtId="0" fontId="1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58"/>
  <sheetViews>
    <sheetView showGridLines="0" tabSelected="1" zoomScale="80" zoomScaleNormal="80" workbookViewId="0">
      <selection activeCell="B10" sqref="B10:C10"/>
    </sheetView>
  </sheetViews>
  <sheetFormatPr defaultColWidth="11.42578125" defaultRowHeight="15"/>
  <cols>
    <col min="1" max="1" width="4.42578125" bestFit="1" customWidth="1"/>
    <col min="2" max="2" width="16.42578125" customWidth="1"/>
    <col min="3" max="3" width="24.140625" customWidth="1"/>
    <col min="4" max="7" width="17.28515625" customWidth="1"/>
    <col min="8" max="8" width="13.140625" bestFit="1" customWidth="1"/>
    <col min="10" max="10" width="13" bestFit="1" customWidth="1"/>
    <col min="11" max="11" width="14.28515625" bestFit="1" customWidth="1"/>
    <col min="12" max="12" width="14.140625" bestFit="1" customWidth="1"/>
    <col min="13" max="13" width="14.140625" customWidth="1"/>
    <col min="15" max="16" width="13.42578125" bestFit="1" customWidth="1"/>
  </cols>
  <sheetData>
    <row r="1" spans="1:9" ht="21.75" thickBot="1">
      <c r="A1" s="136" t="s">
        <v>0</v>
      </c>
      <c r="B1" s="137"/>
      <c r="C1" s="137"/>
      <c r="D1" s="137"/>
      <c r="E1" s="137"/>
      <c r="F1" s="137"/>
      <c r="G1" s="138"/>
    </row>
    <row r="2" spans="1:9" ht="18.75">
      <c r="A2" s="12">
        <v>1</v>
      </c>
      <c r="B2" s="139" t="s">
        <v>1</v>
      </c>
      <c r="C2" s="140"/>
      <c r="D2" s="141">
        <v>44197</v>
      </c>
      <c r="E2" s="142"/>
      <c r="F2" s="142"/>
      <c r="G2" s="143"/>
    </row>
    <row r="3" spans="1:9" ht="72" customHeight="1">
      <c r="A3" s="13">
        <v>2</v>
      </c>
      <c r="B3" s="144" t="s">
        <v>2</v>
      </c>
      <c r="C3" s="145"/>
      <c r="D3" s="146">
        <v>4342737</v>
      </c>
      <c r="E3" s="147"/>
      <c r="F3" s="147"/>
      <c r="G3" s="148"/>
    </row>
    <row r="4" spans="1:9" ht="18.95" customHeight="1">
      <c r="A4" s="157">
        <v>3</v>
      </c>
      <c r="B4" s="167" t="s">
        <v>3</v>
      </c>
      <c r="C4" s="72"/>
      <c r="D4" s="14">
        <v>2022</v>
      </c>
      <c r="E4" s="14">
        <v>2023</v>
      </c>
      <c r="F4" s="14">
        <v>2024</v>
      </c>
      <c r="G4" s="14">
        <v>2025</v>
      </c>
    </row>
    <row r="5" spans="1:9" ht="39" customHeight="1">
      <c r="A5" s="158"/>
      <c r="B5" s="168"/>
      <c r="C5" s="63" t="s">
        <v>4</v>
      </c>
      <c r="D5" s="15">
        <v>4.4999999999999998E-2</v>
      </c>
      <c r="E5" s="15">
        <v>3.5000000000000003E-2</v>
      </c>
      <c r="F5" s="15">
        <v>3.5000000000000003E-2</v>
      </c>
      <c r="G5" s="15">
        <v>3.5000000000000003E-2</v>
      </c>
    </row>
    <row r="6" spans="1:9" ht="20.100000000000001" customHeight="1">
      <c r="A6" s="158"/>
      <c r="B6" s="168"/>
      <c r="C6" s="64" t="s">
        <v>5</v>
      </c>
      <c r="D6" s="65">
        <v>1.4999999999999999E-2</v>
      </c>
      <c r="E6" s="65">
        <v>1.4999999999999999E-2</v>
      </c>
      <c r="F6" s="65">
        <v>1.4999999999999999E-2</v>
      </c>
      <c r="G6" s="65">
        <v>1.4999999999999999E-2</v>
      </c>
    </row>
    <row r="7" spans="1:9" ht="30.95" customHeight="1">
      <c r="A7" s="159"/>
      <c r="B7" s="169"/>
      <c r="C7" s="73"/>
      <c r="D7" s="16">
        <f>+SUM(D5:D6)</f>
        <v>0.06</v>
      </c>
      <c r="E7" s="16">
        <f t="shared" ref="E7:G7" si="0">+SUM(E5:E6)</f>
        <v>0.05</v>
      </c>
      <c r="F7" s="16">
        <f t="shared" si="0"/>
        <v>0.05</v>
      </c>
      <c r="G7" s="16">
        <f t="shared" si="0"/>
        <v>0.05</v>
      </c>
      <c r="I7" s="74"/>
    </row>
    <row r="8" spans="1:9" ht="56.25">
      <c r="A8" s="157">
        <v>4</v>
      </c>
      <c r="B8" s="160" t="s">
        <v>6</v>
      </c>
      <c r="C8" s="161"/>
      <c r="D8" s="18" t="s">
        <v>7</v>
      </c>
      <c r="E8" s="18" t="s">
        <v>8</v>
      </c>
      <c r="F8" s="18" t="s">
        <v>9</v>
      </c>
      <c r="G8" s="19" t="s">
        <v>10</v>
      </c>
    </row>
    <row r="9" spans="1:9" ht="18.75">
      <c r="A9" s="159"/>
      <c r="B9" s="162"/>
      <c r="C9" s="163"/>
      <c r="D9" s="66">
        <v>0.95</v>
      </c>
      <c r="E9" s="67">
        <v>0.7</v>
      </c>
      <c r="F9" s="67">
        <v>0.4</v>
      </c>
      <c r="G9" s="68">
        <v>0</v>
      </c>
    </row>
    <row r="10" spans="1:9" ht="59.25" customHeight="1">
      <c r="A10" s="13">
        <v>5</v>
      </c>
      <c r="B10" s="144" t="s">
        <v>11</v>
      </c>
      <c r="C10" s="145"/>
      <c r="D10" s="149">
        <v>7.6700000000000004E-2</v>
      </c>
      <c r="E10" s="150"/>
      <c r="F10" s="150"/>
      <c r="G10" s="151"/>
    </row>
    <row r="11" spans="1:9" ht="69.95" customHeight="1">
      <c r="A11" s="13">
        <v>6</v>
      </c>
      <c r="B11" s="144" t="s">
        <v>12</v>
      </c>
      <c r="C11" s="145"/>
      <c r="D11" s="17">
        <v>0.18</v>
      </c>
      <c r="E11" s="152" t="s">
        <v>13</v>
      </c>
      <c r="F11" s="153"/>
      <c r="G11" s="154"/>
    </row>
    <row r="12" spans="1:9" ht="53.1" customHeight="1" thickBot="1">
      <c r="A12" s="20">
        <v>7</v>
      </c>
      <c r="B12" s="155" t="s">
        <v>14</v>
      </c>
      <c r="C12" s="156"/>
      <c r="D12" s="21">
        <v>5</v>
      </c>
      <c r="E12" s="164" t="s">
        <v>15</v>
      </c>
      <c r="F12" s="165"/>
      <c r="G12" s="166"/>
    </row>
    <row r="15" spans="1:9">
      <c r="B15" s="132" t="s">
        <v>16</v>
      </c>
      <c r="C15" s="132"/>
    </row>
    <row r="16" spans="1:9">
      <c r="B16" s="1" t="s">
        <v>17</v>
      </c>
      <c r="C16" s="6">
        <f>+D10</f>
        <v>7.6700000000000004E-2</v>
      </c>
    </row>
    <row r="17" spans="1:9">
      <c r="B17" s="7" t="s">
        <v>18</v>
      </c>
      <c r="C17" s="6">
        <v>0.95</v>
      </c>
    </row>
    <row r="18" spans="1:9">
      <c r="B18" s="1" t="s">
        <v>19</v>
      </c>
      <c r="C18" s="6">
        <v>0.18</v>
      </c>
    </row>
    <row r="19" spans="1:9">
      <c r="B19" s="135" t="s">
        <v>20</v>
      </c>
      <c r="C19" s="5">
        <v>2022</v>
      </c>
      <c r="D19" s="5">
        <v>2023</v>
      </c>
      <c r="E19" s="5">
        <v>2024</v>
      </c>
      <c r="F19" s="5">
        <f>+E19+1</f>
        <v>2025</v>
      </c>
    </row>
    <row r="20" spans="1:9">
      <c r="B20" s="135"/>
      <c r="C20" s="6">
        <f>+D7</f>
        <v>0.06</v>
      </c>
      <c r="D20" s="6">
        <f t="shared" ref="D20:F20" si="1">+E7</f>
        <v>0.05</v>
      </c>
      <c r="E20" s="6">
        <f t="shared" si="1"/>
        <v>0.05</v>
      </c>
      <c r="F20" s="6">
        <f t="shared" si="1"/>
        <v>0.05</v>
      </c>
    </row>
    <row r="22" spans="1:9" ht="51">
      <c r="A22" s="8" t="s">
        <v>21</v>
      </c>
      <c r="B22" s="8" t="s">
        <v>22</v>
      </c>
      <c r="C22" s="8" t="s">
        <v>23</v>
      </c>
      <c r="D22" s="8" t="s">
        <v>24</v>
      </c>
      <c r="E22" s="8" t="s">
        <v>25</v>
      </c>
      <c r="F22" s="8" t="s">
        <v>26</v>
      </c>
      <c r="G22" s="8" t="s">
        <v>27</v>
      </c>
      <c r="H22" s="8" t="s">
        <v>28</v>
      </c>
      <c r="I22" s="8" t="s">
        <v>29</v>
      </c>
    </row>
    <row r="23" spans="1:9">
      <c r="A23" s="1">
        <v>1</v>
      </c>
      <c r="B23" s="2">
        <v>44561</v>
      </c>
      <c r="C23" s="3">
        <v>4342737</v>
      </c>
      <c r="D23" s="3">
        <f>+C23*12</f>
        <v>52112844</v>
      </c>
      <c r="E23" s="3">
        <v>0</v>
      </c>
      <c r="F23" s="3">
        <v>0</v>
      </c>
      <c r="G23" s="3">
        <f>-PV($C$16,5-A23,,$D$31)</f>
        <v>1627293.1311236494</v>
      </c>
      <c r="H23" s="3">
        <f>+SUM(F23:G23)</f>
        <v>1627293.1311236494</v>
      </c>
      <c r="I23" s="3">
        <f>+H23</f>
        <v>1627293.1311236494</v>
      </c>
    </row>
    <row r="24" spans="1:9">
      <c r="A24" s="1">
        <v>2</v>
      </c>
      <c r="B24" s="2">
        <v>44926</v>
      </c>
      <c r="C24" s="3">
        <f>+C23*(1+C20)</f>
        <v>4603301.2200000007</v>
      </c>
      <c r="D24" s="3">
        <f>+C24*12</f>
        <v>55239614.640000008</v>
      </c>
      <c r="E24" s="3">
        <f>+I23</f>
        <v>1627293.1311236494</v>
      </c>
      <c r="F24" s="3">
        <f>+E24*$C$16</f>
        <v>124813.38315718391</v>
      </c>
      <c r="G24" s="3">
        <f t="shared" ref="G24:G27" si="2">-PV($C$16,5-A24,,$D$31)</f>
        <v>1752106.5142808333</v>
      </c>
      <c r="H24" s="3">
        <f>+SUM(F24:G24)</f>
        <v>1876919.8974380172</v>
      </c>
      <c r="I24" s="104">
        <f>+H24+I23</f>
        <v>3504213.0285616666</v>
      </c>
    </row>
    <row r="25" spans="1:9">
      <c r="A25" s="1">
        <v>3</v>
      </c>
      <c r="B25" s="2">
        <v>45291</v>
      </c>
      <c r="C25" s="3">
        <f>+C24*(1+D20)</f>
        <v>4833466.2810000014</v>
      </c>
      <c r="D25" s="3">
        <f>+C25*12</f>
        <v>58001595.372000016</v>
      </c>
      <c r="E25" s="3">
        <f>+I24</f>
        <v>3504213.0285616666</v>
      </c>
      <c r="F25" s="3">
        <f>+E25*$C$16</f>
        <v>268773.13929067983</v>
      </c>
      <c r="G25" s="3">
        <f t="shared" si="2"/>
        <v>1886493.0839261732</v>
      </c>
      <c r="H25" s="3">
        <f>+SUM(F25:G25)</f>
        <v>2155266.2232168531</v>
      </c>
      <c r="I25" s="3">
        <f>+H25+I24</f>
        <v>5659479.2517785197</v>
      </c>
    </row>
    <row r="26" spans="1:9">
      <c r="A26" s="1">
        <v>4</v>
      </c>
      <c r="B26" s="2">
        <v>45657</v>
      </c>
      <c r="C26" s="3">
        <f>+C25*(1+E20)</f>
        <v>5075139.5950500015</v>
      </c>
      <c r="D26" s="3">
        <f>+C26*12</f>
        <v>60901675.140600018</v>
      </c>
      <c r="E26" s="3">
        <f>+I25</f>
        <v>5659479.2517785197</v>
      </c>
      <c r="F26" s="3">
        <f>+E26*$C$16</f>
        <v>434082.05861141247</v>
      </c>
      <c r="G26" s="3">
        <f t="shared" si="2"/>
        <v>2031187.1034633107</v>
      </c>
      <c r="H26" s="3">
        <f>+SUM(F26:G26)</f>
        <v>2465269.1620747233</v>
      </c>
      <c r="I26" s="3">
        <f>+H26+I25</f>
        <v>8124748.413853243</v>
      </c>
    </row>
    <row r="27" spans="1:9">
      <c r="A27" s="1">
        <v>5</v>
      </c>
      <c r="B27" s="2">
        <v>46022</v>
      </c>
      <c r="C27" s="3">
        <f>+C26*(1+F20)</f>
        <v>5328896.5748025021</v>
      </c>
      <c r="D27" s="3">
        <f>+C27*12</f>
        <v>63946758.897630021</v>
      </c>
      <c r="E27" s="3">
        <f>+I26</f>
        <v>8124748.413853243</v>
      </c>
      <c r="F27" s="3">
        <f>+E27*$C$16</f>
        <v>623168.2033425438</v>
      </c>
      <c r="G27" s="3">
        <f t="shared" si="2"/>
        <v>2186979.1542989467</v>
      </c>
      <c r="H27" s="3">
        <f>+SUM(F27:G27)</f>
        <v>2810147.3576414906</v>
      </c>
      <c r="I27" s="3">
        <f>+H27+I26</f>
        <v>10934895.771494733</v>
      </c>
    </row>
    <row r="28" spans="1:9">
      <c r="I28" s="9"/>
    </row>
    <row r="29" spans="1:9">
      <c r="B29" s="4" t="s">
        <v>30</v>
      </c>
      <c r="D29" s="9">
        <f>+D27*C18</f>
        <v>11510416.601573404</v>
      </c>
    </row>
    <row r="30" spans="1:9">
      <c r="B30" s="4" t="s">
        <v>31</v>
      </c>
      <c r="D30" s="10">
        <f>+D29*C17</f>
        <v>10934895.771494733</v>
      </c>
    </row>
    <row r="31" spans="1:9">
      <c r="B31" s="92" t="s">
        <v>32</v>
      </c>
      <c r="D31" s="10">
        <f>+D30/5</f>
        <v>2186979.1542989467</v>
      </c>
      <c r="E31" s="121"/>
      <c r="H31" s="69"/>
    </row>
    <row r="32" spans="1:9">
      <c r="E32" s="121"/>
    </row>
    <row r="33" spans="2:7">
      <c r="E33" s="121"/>
    </row>
    <row r="34" spans="2:7">
      <c r="B34" s="4" t="s">
        <v>33</v>
      </c>
    </row>
    <row r="36" spans="2:7">
      <c r="B36" s="122" t="s">
        <v>34</v>
      </c>
      <c r="C36" s="133" t="s">
        <v>35</v>
      </c>
      <c r="D36" s="133"/>
      <c r="E36" s="133"/>
      <c r="F36" s="122" t="s">
        <v>36</v>
      </c>
      <c r="G36" s="122" t="s">
        <v>37</v>
      </c>
    </row>
    <row r="37" spans="2:7">
      <c r="B37" s="57">
        <v>5107</v>
      </c>
      <c r="C37" s="131" t="s">
        <v>38</v>
      </c>
      <c r="D37" s="131"/>
      <c r="E37" s="131"/>
      <c r="G37" s="22"/>
    </row>
    <row r="38" spans="2:7">
      <c r="B38" s="57">
        <v>510795</v>
      </c>
      <c r="C38" s="131" t="s">
        <v>39</v>
      </c>
      <c r="D38" s="131"/>
      <c r="E38" s="131"/>
      <c r="F38" s="3">
        <f>+G41</f>
        <v>1627293.1311236494</v>
      </c>
      <c r="G38" s="22"/>
    </row>
    <row r="39" spans="2:7">
      <c r="B39" s="57">
        <v>2512</v>
      </c>
      <c r="C39" s="131" t="s">
        <v>40</v>
      </c>
      <c r="D39" s="131"/>
      <c r="E39" s="131"/>
      <c r="F39" s="3"/>
      <c r="G39" s="22"/>
    </row>
    <row r="40" spans="2:7">
      <c r="B40" s="57">
        <v>251290</v>
      </c>
      <c r="C40" s="131" t="s">
        <v>41</v>
      </c>
      <c r="D40" s="131"/>
      <c r="E40" s="131"/>
      <c r="F40" s="3"/>
      <c r="G40" s="22"/>
    </row>
    <row r="41" spans="2:7">
      <c r="B41" s="57" t="s">
        <v>42</v>
      </c>
      <c r="C41" s="131" t="s">
        <v>43</v>
      </c>
      <c r="D41" s="131"/>
      <c r="E41" s="131"/>
      <c r="F41" s="22"/>
      <c r="G41" s="3">
        <f>+I23</f>
        <v>1627293.1311236494</v>
      </c>
    </row>
    <row r="42" spans="2:7">
      <c r="B42" s="134" t="s">
        <v>44</v>
      </c>
      <c r="C42" s="134"/>
      <c r="D42" s="134"/>
      <c r="E42" s="134"/>
      <c r="F42" s="123">
        <f>SUM(F38:F41)</f>
        <v>1627293.1311236494</v>
      </c>
      <c r="G42" s="123">
        <f>SUM(G37:G41)</f>
        <v>1627293.1311236494</v>
      </c>
    </row>
    <row r="45" spans="2:7">
      <c r="B45" s="4" t="s">
        <v>45</v>
      </c>
    </row>
    <row r="47" spans="2:7">
      <c r="B47" s="122" t="s">
        <v>34</v>
      </c>
      <c r="C47" s="133" t="s">
        <v>35</v>
      </c>
      <c r="D47" s="133"/>
      <c r="E47" s="133"/>
      <c r="F47" s="122" t="s">
        <v>36</v>
      </c>
      <c r="G47" s="122" t="s">
        <v>37</v>
      </c>
    </row>
    <row r="48" spans="2:7">
      <c r="B48" s="58">
        <v>5107</v>
      </c>
      <c r="C48" s="130" t="s">
        <v>38</v>
      </c>
      <c r="D48" s="131"/>
      <c r="E48" s="131"/>
      <c r="G48" s="22"/>
    </row>
    <row r="49" spans="2:7">
      <c r="B49" s="58">
        <v>510795</v>
      </c>
      <c r="C49" s="130" t="s">
        <v>39</v>
      </c>
      <c r="D49" s="131"/>
      <c r="E49" s="131"/>
      <c r="F49" s="3">
        <f>+G24</f>
        <v>1752106.5142808333</v>
      </c>
      <c r="G49" s="22"/>
    </row>
    <row r="50" spans="2:7">
      <c r="B50" s="58">
        <v>5108</v>
      </c>
      <c r="C50" s="130" t="s">
        <v>46</v>
      </c>
      <c r="D50" s="131"/>
      <c r="E50" s="131"/>
      <c r="F50" s="3"/>
      <c r="G50" s="22"/>
    </row>
    <row r="51" spans="2:7">
      <c r="B51" s="58">
        <v>510812</v>
      </c>
      <c r="C51" s="130" t="s">
        <v>47</v>
      </c>
      <c r="D51" s="131"/>
      <c r="E51" s="131"/>
      <c r="F51" s="3"/>
      <c r="G51" s="22"/>
    </row>
    <row r="52" spans="2:7">
      <c r="B52" s="58" t="s">
        <v>48</v>
      </c>
      <c r="C52" s="130" t="s">
        <v>49</v>
      </c>
      <c r="D52" s="131"/>
      <c r="E52" s="131"/>
      <c r="F52" s="3">
        <f>+F24</f>
        <v>124813.38315718391</v>
      </c>
      <c r="G52" s="22"/>
    </row>
    <row r="53" spans="2:7">
      <c r="B53" s="58">
        <v>2512</v>
      </c>
      <c r="C53" s="130" t="s">
        <v>40</v>
      </c>
      <c r="D53" s="131"/>
      <c r="E53" s="131"/>
      <c r="F53" s="3"/>
      <c r="G53" s="22"/>
    </row>
    <row r="54" spans="2:7">
      <c r="B54" s="58">
        <v>251290</v>
      </c>
      <c r="C54" s="130" t="s">
        <v>41</v>
      </c>
      <c r="D54" s="131"/>
      <c r="E54" s="131"/>
      <c r="F54" s="3"/>
      <c r="G54" s="22"/>
    </row>
    <row r="55" spans="2:7">
      <c r="B55" s="58" t="s">
        <v>42</v>
      </c>
      <c r="C55" s="130" t="s">
        <v>43</v>
      </c>
      <c r="D55" s="131"/>
      <c r="E55" s="131"/>
      <c r="F55" s="22"/>
      <c r="G55" s="3">
        <f>+F49+F52</f>
        <v>1876919.8974380172</v>
      </c>
    </row>
    <row r="56" spans="2:7">
      <c r="B56" s="127" t="s">
        <v>50</v>
      </c>
      <c r="C56" s="128"/>
      <c r="D56" s="128"/>
      <c r="E56" s="129"/>
      <c r="F56" s="123">
        <f>SUM(F49:F55)</f>
        <v>1876919.8974380172</v>
      </c>
      <c r="G56" s="123">
        <f>SUM(G48:G55)</f>
        <v>1876919.8974380172</v>
      </c>
    </row>
    <row r="58" spans="2:7" ht="15.75">
      <c r="B58" s="75" t="s">
        <v>51</v>
      </c>
      <c r="C58" s="76"/>
      <c r="D58" s="76"/>
      <c r="E58" s="76"/>
      <c r="F58" s="76"/>
      <c r="G58" s="105">
        <f>+G41+G55</f>
        <v>3504213.0285616666</v>
      </c>
    </row>
  </sheetData>
  <mergeCells count="34">
    <mergeCell ref="D10:G10"/>
    <mergeCell ref="B11:C11"/>
    <mergeCell ref="E11:G11"/>
    <mergeCell ref="B12:C12"/>
    <mergeCell ref="A4:A7"/>
    <mergeCell ref="A8:A9"/>
    <mergeCell ref="B8:C9"/>
    <mergeCell ref="B10:C10"/>
    <mergeCell ref="E12:G12"/>
    <mergeCell ref="B4:B7"/>
    <mergeCell ref="A1:G1"/>
    <mergeCell ref="B2:C2"/>
    <mergeCell ref="D2:G2"/>
    <mergeCell ref="B3:C3"/>
    <mergeCell ref="D3:G3"/>
    <mergeCell ref="B15:C15"/>
    <mergeCell ref="C38:E38"/>
    <mergeCell ref="C39:E39"/>
    <mergeCell ref="C40:E40"/>
    <mergeCell ref="C47:E47"/>
    <mergeCell ref="C41:E41"/>
    <mergeCell ref="B42:E42"/>
    <mergeCell ref="C36:E36"/>
    <mergeCell ref="C37:E37"/>
    <mergeCell ref="B19:B20"/>
    <mergeCell ref="B56:E56"/>
    <mergeCell ref="C51:E51"/>
    <mergeCell ref="C53:E53"/>
    <mergeCell ref="C48:E48"/>
    <mergeCell ref="C55:E55"/>
    <mergeCell ref="C49:E49"/>
    <mergeCell ref="C50:E50"/>
    <mergeCell ref="C54:E54"/>
    <mergeCell ref="C52:E52"/>
  </mergeCells>
  <pageMargins left="0.7" right="0.7" top="0.75" bottom="0.75" header="0.3" footer="0.3"/>
  <pageSetup paperSize="9" orientation="portrait" r:id="rId1"/>
  <ignoredErrors>
    <ignoredError sqref="D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N63"/>
  <sheetViews>
    <sheetView showGridLines="0" topLeftCell="A22" zoomScale="110" zoomScaleNormal="110" workbookViewId="0">
      <selection activeCell="D30" sqref="D30"/>
    </sheetView>
  </sheetViews>
  <sheetFormatPr defaultColWidth="11.42578125" defaultRowHeight="15"/>
  <cols>
    <col min="2" max="2" width="23.28515625" customWidth="1"/>
    <col min="3" max="6" width="20.140625" customWidth="1"/>
    <col min="7" max="7" width="25.140625" customWidth="1"/>
    <col min="8" max="11" width="20.140625" customWidth="1"/>
    <col min="12" max="12" width="3.28515625" customWidth="1"/>
    <col min="14" max="14" width="22.28515625" bestFit="1" customWidth="1"/>
  </cols>
  <sheetData>
    <row r="1" spans="1:14">
      <c r="B1" s="132" t="s">
        <v>52</v>
      </c>
      <c r="C1" s="132"/>
      <c r="G1" s="132" t="s">
        <v>53</v>
      </c>
      <c r="H1" s="132"/>
      <c r="M1" s="174" t="s">
        <v>54</v>
      </c>
      <c r="N1" s="175"/>
    </row>
    <row r="2" spans="1:14">
      <c r="B2" s="1" t="s">
        <v>17</v>
      </c>
      <c r="C2" s="6">
        <f>+H2</f>
        <v>7.6700000000000004E-2</v>
      </c>
      <c r="G2" s="1" t="s">
        <v>17</v>
      </c>
      <c r="H2" s="6">
        <f>+'SITUACION INICIAL - 2021 Y 2022'!C16</f>
        <v>7.6700000000000004E-2</v>
      </c>
      <c r="M2" s="79"/>
      <c r="N2" s="80" t="s">
        <v>55</v>
      </c>
    </row>
    <row r="3" spans="1:14">
      <c r="B3" s="7" t="s">
        <v>18</v>
      </c>
      <c r="C3" s="83">
        <v>0.92</v>
      </c>
      <c r="G3" s="7" t="s">
        <v>18</v>
      </c>
      <c r="H3" s="78">
        <f>+'SITUACION INICIAL - 2021 Y 2022'!C17</f>
        <v>0.95</v>
      </c>
      <c r="M3" s="81"/>
      <c r="N3" s="82" t="s">
        <v>56</v>
      </c>
    </row>
    <row r="4" spans="1:14">
      <c r="B4" s="1" t="s">
        <v>19</v>
      </c>
      <c r="C4" s="6">
        <v>0.18</v>
      </c>
      <c r="G4" s="1" t="s">
        <v>19</v>
      </c>
      <c r="H4" s="6">
        <f>+'SITUACION INICIAL - 2021 Y 2022'!C18</f>
        <v>0.18</v>
      </c>
    </row>
    <row r="5" spans="1:14" ht="15" customHeight="1">
      <c r="B5" s="171" t="s">
        <v>20</v>
      </c>
      <c r="C5" s="5">
        <v>2022</v>
      </c>
      <c r="D5" s="5">
        <v>2023</v>
      </c>
      <c r="E5" s="5">
        <v>2024</v>
      </c>
      <c r="F5" s="5">
        <v>2025</v>
      </c>
      <c r="G5" s="171" t="s">
        <v>20</v>
      </c>
      <c r="H5" s="5">
        <v>2022</v>
      </c>
      <c r="I5" s="5">
        <v>2023</v>
      </c>
      <c r="J5" s="5">
        <v>2024</v>
      </c>
      <c r="K5" s="5">
        <v>2025</v>
      </c>
      <c r="L5" s="4"/>
    </row>
    <row r="6" spans="1:14" ht="15" customHeight="1">
      <c r="B6" s="172"/>
      <c r="C6" s="93">
        <f>+'SITUACION INICIAL - 2021 Y 2022'!D5</f>
        <v>4.4999999999999998E-2</v>
      </c>
      <c r="D6" s="83">
        <v>0.04</v>
      </c>
      <c r="E6" s="83">
        <v>0.04</v>
      </c>
      <c r="F6" s="83">
        <v>0.04</v>
      </c>
      <c r="G6" s="172"/>
      <c r="H6" s="6">
        <f>+'SITUACION INICIAL - 2021 Y 2022'!D5</f>
        <v>4.4999999999999998E-2</v>
      </c>
      <c r="I6" s="6">
        <f>+'SITUACION INICIAL - 2021 Y 2022'!E5</f>
        <v>3.5000000000000003E-2</v>
      </c>
      <c r="J6" s="6">
        <f>+'SITUACION INICIAL - 2021 Y 2022'!F5</f>
        <v>3.5000000000000003E-2</v>
      </c>
      <c r="K6" s="6">
        <f>+'SITUACION INICIAL - 2021 Y 2022'!G5</f>
        <v>3.5000000000000003E-2</v>
      </c>
      <c r="L6" s="4"/>
    </row>
    <row r="7" spans="1:14" ht="15" customHeight="1">
      <c r="B7" s="172"/>
      <c r="C7" s="93">
        <f>+'SITUACION INICIAL - 2021 Y 2022'!D6</f>
        <v>1.4999999999999999E-2</v>
      </c>
      <c r="D7" s="6">
        <f>+'SITUACION INICIAL - 2021 Y 2022'!E6</f>
        <v>1.4999999999999999E-2</v>
      </c>
      <c r="E7" s="6">
        <f>+'SITUACION INICIAL - 2021 Y 2022'!F6</f>
        <v>1.4999999999999999E-2</v>
      </c>
      <c r="F7" s="6">
        <f>+'SITUACION INICIAL - 2021 Y 2022'!G6</f>
        <v>1.4999999999999999E-2</v>
      </c>
      <c r="G7" s="172"/>
      <c r="H7" s="6">
        <f>+'SITUACION INICIAL - 2021 Y 2022'!D6</f>
        <v>1.4999999999999999E-2</v>
      </c>
      <c r="I7" s="6">
        <f>+'SITUACION INICIAL - 2021 Y 2022'!E6</f>
        <v>1.4999999999999999E-2</v>
      </c>
      <c r="J7" s="6">
        <f>+'SITUACION INICIAL - 2021 Y 2022'!F6</f>
        <v>1.4999999999999999E-2</v>
      </c>
      <c r="K7" s="6">
        <f>+'SITUACION INICIAL - 2021 Y 2022'!G6</f>
        <v>1.4999999999999999E-2</v>
      </c>
      <c r="L7" s="4"/>
    </row>
    <row r="8" spans="1:14">
      <c r="B8" s="173"/>
      <c r="C8" s="94">
        <f>+SUM(C6:C7)</f>
        <v>0.06</v>
      </c>
      <c r="D8" s="77">
        <f t="shared" ref="D8:F8" si="0">+SUM(D6:D7)</f>
        <v>5.5E-2</v>
      </c>
      <c r="E8" s="77">
        <f t="shared" si="0"/>
        <v>5.5E-2</v>
      </c>
      <c r="F8" s="77">
        <f t="shared" si="0"/>
        <v>5.5E-2</v>
      </c>
      <c r="G8" s="173"/>
      <c r="H8" s="77">
        <f t="shared" ref="H8:K8" si="1">+SUM(H6:H7)</f>
        <v>0.06</v>
      </c>
      <c r="I8" s="77">
        <f t="shared" si="1"/>
        <v>0.05</v>
      </c>
      <c r="J8" s="77">
        <f t="shared" si="1"/>
        <v>0.05</v>
      </c>
      <c r="K8" s="77">
        <f t="shared" si="1"/>
        <v>0.05</v>
      </c>
      <c r="L8" s="62"/>
    </row>
    <row r="10" spans="1:14" ht="51">
      <c r="A10" s="8" t="s">
        <v>21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 t="s">
        <v>27</v>
      </c>
      <c r="H10" s="8" t="s">
        <v>28</v>
      </c>
      <c r="I10" s="8" t="s">
        <v>29</v>
      </c>
      <c r="J10" s="8" t="s">
        <v>57</v>
      </c>
      <c r="K10" s="8" t="s">
        <v>58</v>
      </c>
      <c r="L10" s="84"/>
    </row>
    <row r="11" spans="1:14">
      <c r="A11" s="1">
        <v>1</v>
      </c>
      <c r="B11" s="85">
        <v>44561</v>
      </c>
      <c r="C11" s="86">
        <f>+'SITUACION INICIAL - 2021 Y 2022'!C23</f>
        <v>4342737</v>
      </c>
      <c r="D11" s="86">
        <f t="shared" ref="D11:D15" si="2">+C11*12</f>
        <v>52112844</v>
      </c>
      <c r="E11" s="86">
        <v>0</v>
      </c>
      <c r="F11" s="86">
        <v>0</v>
      </c>
      <c r="G11" s="102">
        <f>-PV($C$2,5-A11,,$D$20)</f>
        <v>1598525.2290937717</v>
      </c>
      <c r="H11" s="102">
        <f t="shared" ref="H11:H15" si="3">+SUM(F11:G11)</f>
        <v>1598525.2290937717</v>
      </c>
      <c r="I11" s="102">
        <f>+H11</f>
        <v>1598525.2290937717</v>
      </c>
      <c r="J11" s="95">
        <f>+'SITUACION INICIAL - 2021 Y 2022'!I23</f>
        <v>1627293.1311236494</v>
      </c>
      <c r="K11" s="87"/>
    </row>
    <row r="12" spans="1:14" ht="15.75" thickBot="1">
      <c r="A12" s="1">
        <v>2</v>
      </c>
      <c r="B12" s="85">
        <v>44926</v>
      </c>
      <c r="C12" s="86">
        <f>+'SITUACION INICIAL - 2021 Y 2022'!C24</f>
        <v>4603301.2200000007</v>
      </c>
      <c r="D12" s="86">
        <f t="shared" si="2"/>
        <v>55239614.640000008</v>
      </c>
      <c r="E12" s="86">
        <f>+I11</f>
        <v>1598525.2290937717</v>
      </c>
      <c r="F12" s="86">
        <f>+E12*$C$2</f>
        <v>122606.88507149229</v>
      </c>
      <c r="G12" s="102">
        <f t="shared" ref="G12:G15" si="4">-PV($C$2,5-A12,,$D$20)</f>
        <v>1721132.1141652639</v>
      </c>
      <c r="H12" s="102">
        <f t="shared" si="3"/>
        <v>1843738.9992367562</v>
      </c>
      <c r="I12" s="102">
        <f>+H12+I11</f>
        <v>3442264.2283305279</v>
      </c>
      <c r="J12" s="95">
        <f>+'SITUACION INICIAL - 2021 Y 2022'!I24</f>
        <v>3504213.0285616666</v>
      </c>
      <c r="K12" s="86">
        <f>+I12-J12</f>
        <v>-61948.80023113871</v>
      </c>
      <c r="L12" s="10"/>
    </row>
    <row r="13" spans="1:14" ht="15.75" thickBot="1">
      <c r="A13" s="96">
        <v>3</v>
      </c>
      <c r="B13" s="90">
        <v>45291</v>
      </c>
      <c r="C13" s="91">
        <f>+C12*D8+C12</f>
        <v>4856482.7871000003</v>
      </c>
      <c r="D13" s="91">
        <f t="shared" si="2"/>
        <v>58277793.445200004</v>
      </c>
      <c r="E13" s="91">
        <f>+I12</f>
        <v>3442264.2283305279</v>
      </c>
      <c r="F13" s="91">
        <f>+E13*$C$2</f>
        <v>264021.66631295148</v>
      </c>
      <c r="G13" s="91">
        <f t="shared" si="4"/>
        <v>1853142.9473217397</v>
      </c>
      <c r="H13" s="91">
        <f t="shared" si="3"/>
        <v>2117164.6136346911</v>
      </c>
      <c r="I13" s="106">
        <f>+H13+I12</f>
        <v>5559428.841965219</v>
      </c>
    </row>
    <row r="14" spans="1:14">
      <c r="A14" s="97">
        <v>4</v>
      </c>
      <c r="B14" s="98">
        <v>45657</v>
      </c>
      <c r="C14" s="99">
        <f>+C13*E8+C13</f>
        <v>5123589.3403905006</v>
      </c>
      <c r="D14" s="99">
        <f t="shared" si="2"/>
        <v>61483072.084686011</v>
      </c>
      <c r="E14" s="99">
        <f>+I13</f>
        <v>5559428.841965219</v>
      </c>
      <c r="F14" s="99">
        <f>+E14*$C$2</f>
        <v>426408.19217873231</v>
      </c>
      <c r="G14" s="99">
        <f t="shared" si="4"/>
        <v>1995279.0113813174</v>
      </c>
      <c r="H14" s="99">
        <f t="shared" si="3"/>
        <v>2421687.2035600496</v>
      </c>
      <c r="I14" s="99">
        <f>+H14+I13</f>
        <v>7981116.0455252687</v>
      </c>
    </row>
    <row r="15" spans="1:14">
      <c r="A15" s="100">
        <v>5</v>
      </c>
      <c r="B15" s="101">
        <v>46022</v>
      </c>
      <c r="C15" s="102">
        <f>+C14*F8+C14</f>
        <v>5405386.7541119782</v>
      </c>
      <c r="D15" s="102">
        <f t="shared" si="2"/>
        <v>64864641.049343735</v>
      </c>
      <c r="E15" s="102">
        <f>+I14</f>
        <v>7981116.0455252687</v>
      </c>
      <c r="F15" s="102">
        <f>+E15*$C$2</f>
        <v>612151.60069178813</v>
      </c>
      <c r="G15" s="102">
        <f t="shared" si="4"/>
        <v>2148316.9115542644</v>
      </c>
      <c r="H15" s="102">
        <f t="shared" si="3"/>
        <v>2760468.5122460527</v>
      </c>
      <c r="I15" s="102">
        <f>+H15+I14</f>
        <v>10741584.557771321</v>
      </c>
      <c r="J15" s="121"/>
    </row>
    <row r="16" spans="1:14">
      <c r="A16" s="29"/>
      <c r="B16" s="30"/>
      <c r="C16" s="9"/>
      <c r="D16" s="9"/>
      <c r="E16" s="9"/>
      <c r="F16" s="9"/>
      <c r="G16" s="9"/>
      <c r="H16" s="9"/>
      <c r="I16" s="10"/>
    </row>
    <row r="17" spans="2:7">
      <c r="F17" s="9"/>
    </row>
    <row r="18" spans="2:7">
      <c r="B18" s="4" t="s">
        <v>30</v>
      </c>
      <c r="D18" s="9">
        <f>+D15*C4</f>
        <v>11675635.388881871</v>
      </c>
    </row>
    <row r="19" spans="2:7">
      <c r="B19" s="4" t="s">
        <v>31</v>
      </c>
      <c r="D19" s="10">
        <f>+D18*C3</f>
        <v>10741584.557771321</v>
      </c>
    </row>
    <row r="20" spans="2:7">
      <c r="B20" s="4" t="s">
        <v>59</v>
      </c>
      <c r="D20" s="10">
        <f>+D19/5</f>
        <v>2148316.9115542644</v>
      </c>
    </row>
    <row r="23" spans="2:7" s="108" customFormat="1">
      <c r="B23" s="7" t="s">
        <v>60</v>
      </c>
      <c r="C23" s="7" t="s">
        <v>61</v>
      </c>
      <c r="D23" s="7" t="s">
        <v>62</v>
      </c>
      <c r="E23" s="7" t="s">
        <v>63</v>
      </c>
    </row>
    <row r="24" spans="2:7" ht="43.5" customHeight="1">
      <c r="B24" s="109" t="s">
        <v>64</v>
      </c>
      <c r="C24" s="109">
        <f>+I12</f>
        <v>3442264.2283305279</v>
      </c>
      <c r="D24" s="109">
        <f>+J12</f>
        <v>3504213.0285616666</v>
      </c>
      <c r="E24" s="109">
        <f>+C24-D24</f>
        <v>-61948.80023113871</v>
      </c>
    </row>
    <row r="25" spans="2:7" ht="43.5" customHeight="1">
      <c r="B25" s="110" t="s">
        <v>65</v>
      </c>
      <c r="C25" s="109">
        <f>+F13</f>
        <v>264021.66631295148</v>
      </c>
    </row>
    <row r="26" spans="2:7">
      <c r="B26" s="5" t="s">
        <v>44</v>
      </c>
      <c r="C26" s="11">
        <f>+SUM(C24:C25)</f>
        <v>3706285.8946434795</v>
      </c>
      <c r="D26" s="11">
        <f>+SUM(D24:D25)</f>
        <v>3504213.0285616666</v>
      </c>
      <c r="E26" s="11">
        <f>+SUM(E24:E25)</f>
        <v>-61948.80023113871</v>
      </c>
    </row>
    <row r="29" spans="2:7">
      <c r="B29" s="4" t="s">
        <v>66</v>
      </c>
    </row>
    <row r="31" spans="2:7">
      <c r="B31" s="122" t="s">
        <v>34</v>
      </c>
      <c r="C31" s="133" t="s">
        <v>35</v>
      </c>
      <c r="D31" s="133"/>
      <c r="E31" s="133"/>
      <c r="F31" s="122" t="s">
        <v>36</v>
      </c>
      <c r="G31" s="122" t="s">
        <v>37</v>
      </c>
    </row>
    <row r="32" spans="2:7" s="59" customFormat="1" ht="16.5" customHeight="1">
      <c r="B32" s="57">
        <v>5107</v>
      </c>
      <c r="C32" s="170" t="s">
        <v>38</v>
      </c>
      <c r="D32" s="170"/>
      <c r="E32" s="130"/>
      <c r="F32" s="61"/>
      <c r="G32" s="60"/>
    </row>
    <row r="33" spans="2:9" s="59" customFormat="1">
      <c r="B33" s="57">
        <v>510795</v>
      </c>
      <c r="C33" s="170" t="s">
        <v>39</v>
      </c>
      <c r="D33" s="170"/>
      <c r="E33" s="130"/>
      <c r="F33" s="3">
        <f>+G13</f>
        <v>1853142.9473217397</v>
      </c>
      <c r="G33" s="60"/>
    </row>
    <row r="34" spans="2:9">
      <c r="B34" s="57">
        <v>2512</v>
      </c>
      <c r="C34" s="170" t="s">
        <v>40</v>
      </c>
      <c r="D34" s="170"/>
      <c r="E34" s="130"/>
      <c r="G34" s="22"/>
    </row>
    <row r="35" spans="2:9">
      <c r="B35" s="57">
        <v>251290</v>
      </c>
      <c r="C35" s="170" t="s">
        <v>41</v>
      </c>
      <c r="D35" s="170"/>
      <c r="E35" s="130"/>
      <c r="F35" s="22"/>
      <c r="G35" s="22"/>
    </row>
    <row r="36" spans="2:9">
      <c r="B36" s="57" t="s">
        <v>42</v>
      </c>
      <c r="C36" s="170" t="s">
        <v>43</v>
      </c>
      <c r="D36" s="170"/>
      <c r="E36" s="130"/>
      <c r="F36" s="22"/>
      <c r="G36" s="3">
        <f>+F33</f>
        <v>1853142.9473217397</v>
      </c>
      <c r="I36" s="9"/>
    </row>
    <row r="37" spans="2:9">
      <c r="B37" s="127" t="s">
        <v>50</v>
      </c>
      <c r="C37" s="128"/>
      <c r="D37" s="128"/>
      <c r="E37" s="129"/>
      <c r="F37" s="123">
        <f>+SUM(F32:F36)</f>
        <v>1853142.9473217397</v>
      </c>
      <c r="G37" s="123">
        <f>+SUM(G32:G36)</f>
        <v>1853142.9473217397</v>
      </c>
    </row>
    <row r="40" spans="2:9">
      <c r="B40" s="4" t="s">
        <v>67</v>
      </c>
    </row>
    <row r="42" spans="2:9">
      <c r="B42" s="122" t="s">
        <v>34</v>
      </c>
      <c r="C42" s="133" t="s">
        <v>35</v>
      </c>
      <c r="D42" s="133"/>
      <c r="E42" s="133"/>
      <c r="F42" s="122" t="s">
        <v>36</v>
      </c>
      <c r="G42" s="122" t="s">
        <v>37</v>
      </c>
    </row>
    <row r="43" spans="2:9">
      <c r="B43" s="57">
        <v>2512</v>
      </c>
      <c r="C43" s="170" t="s">
        <v>40</v>
      </c>
      <c r="D43" s="170"/>
      <c r="E43" s="130"/>
      <c r="G43" s="22"/>
    </row>
    <row r="44" spans="2:9">
      <c r="B44" s="57">
        <v>251290</v>
      </c>
      <c r="C44" s="170" t="s">
        <v>41</v>
      </c>
      <c r="D44" s="170"/>
      <c r="E44" s="130"/>
      <c r="F44" s="22"/>
      <c r="G44" s="22"/>
    </row>
    <row r="45" spans="2:9">
      <c r="B45" s="57" t="s">
        <v>42</v>
      </c>
      <c r="C45" s="170" t="s">
        <v>43</v>
      </c>
      <c r="D45" s="170"/>
      <c r="E45" s="130"/>
      <c r="F45" s="3">
        <f>+G48</f>
        <v>61948.80023113871</v>
      </c>
      <c r="G45" s="3"/>
    </row>
    <row r="46" spans="2:9">
      <c r="B46" s="57">
        <v>4808</v>
      </c>
      <c r="C46" s="170" t="s">
        <v>68</v>
      </c>
      <c r="D46" s="170"/>
      <c r="E46" s="130"/>
      <c r="F46" s="22"/>
      <c r="G46" s="22"/>
    </row>
    <row r="47" spans="2:9">
      <c r="B47" s="57">
        <v>480837</v>
      </c>
      <c r="C47" s="170" t="s">
        <v>47</v>
      </c>
      <c r="D47" s="170"/>
      <c r="E47" s="130"/>
      <c r="F47" s="22"/>
      <c r="G47" s="22"/>
    </row>
    <row r="48" spans="2:9">
      <c r="B48" s="57" t="s">
        <v>69</v>
      </c>
      <c r="C48" s="170" t="s">
        <v>70</v>
      </c>
      <c r="D48" s="170"/>
      <c r="E48" s="130"/>
      <c r="F48" s="3"/>
      <c r="G48" s="3">
        <f>-K12</f>
        <v>61948.80023113871</v>
      </c>
    </row>
    <row r="49" spans="2:7">
      <c r="B49" s="127" t="s">
        <v>50</v>
      </c>
      <c r="C49" s="128"/>
      <c r="D49" s="128"/>
      <c r="E49" s="129"/>
      <c r="F49" s="123">
        <f>+SUM(F43:F48)</f>
        <v>61948.80023113871</v>
      </c>
      <c r="G49" s="123">
        <f>+SUM(G43:G48)</f>
        <v>61948.80023113871</v>
      </c>
    </row>
    <row r="52" spans="2:7">
      <c r="B52" s="4" t="s">
        <v>71</v>
      </c>
    </row>
    <row r="54" spans="2:7">
      <c r="B54" s="122" t="s">
        <v>34</v>
      </c>
      <c r="C54" s="133" t="s">
        <v>35</v>
      </c>
      <c r="D54" s="133"/>
      <c r="E54" s="133"/>
      <c r="F54" s="122" t="s">
        <v>36</v>
      </c>
      <c r="G54" s="122" t="s">
        <v>37</v>
      </c>
    </row>
    <row r="55" spans="2:7">
      <c r="B55" s="57">
        <v>5108</v>
      </c>
      <c r="C55" s="170" t="s">
        <v>46</v>
      </c>
      <c r="D55" s="170"/>
      <c r="E55" s="130"/>
      <c r="F55" s="22"/>
      <c r="G55" s="22"/>
    </row>
    <row r="56" spans="2:7">
      <c r="B56" s="57">
        <v>510812</v>
      </c>
      <c r="C56" s="170" t="s">
        <v>47</v>
      </c>
      <c r="D56" s="170"/>
      <c r="E56" s="130"/>
      <c r="F56" s="22"/>
      <c r="G56" s="22"/>
    </row>
    <row r="57" spans="2:7">
      <c r="B57" s="57" t="s">
        <v>48</v>
      </c>
      <c r="C57" s="170" t="s">
        <v>72</v>
      </c>
      <c r="D57" s="170"/>
      <c r="E57" s="130"/>
      <c r="F57" s="3">
        <f>+F13</f>
        <v>264021.66631295148</v>
      </c>
      <c r="G57" s="22"/>
    </row>
    <row r="58" spans="2:7">
      <c r="B58" s="57">
        <v>2512</v>
      </c>
      <c r="C58" s="170" t="s">
        <v>40</v>
      </c>
      <c r="D58" s="170"/>
      <c r="E58" s="130"/>
      <c r="G58" s="22"/>
    </row>
    <row r="59" spans="2:7">
      <c r="B59" s="57">
        <v>251290</v>
      </c>
      <c r="C59" s="170" t="s">
        <v>41</v>
      </c>
      <c r="D59" s="170"/>
      <c r="E59" s="130"/>
      <c r="F59" s="22"/>
      <c r="G59" s="22"/>
    </row>
    <row r="60" spans="2:7">
      <c r="B60" s="57" t="s">
        <v>42</v>
      </c>
      <c r="C60" s="170" t="s">
        <v>43</v>
      </c>
      <c r="D60" s="170"/>
      <c r="E60" s="130"/>
      <c r="F60" s="22"/>
      <c r="G60" s="3">
        <f>+F57</f>
        <v>264021.66631295148</v>
      </c>
    </row>
    <row r="61" spans="2:7">
      <c r="B61" s="127" t="s">
        <v>50</v>
      </c>
      <c r="C61" s="128"/>
      <c r="D61" s="128"/>
      <c r="E61" s="129"/>
      <c r="F61" s="123">
        <f>SUM(F57:F60)</f>
        <v>264021.66631295148</v>
      </c>
      <c r="G61" s="123">
        <f>SUM(G58:G60)</f>
        <v>264021.66631295148</v>
      </c>
    </row>
    <row r="63" spans="2:7" s="76" customFormat="1" ht="15.75">
      <c r="B63" s="75" t="s">
        <v>73</v>
      </c>
      <c r="G63" s="105">
        <f>+D24+G60+G36-F45</f>
        <v>5559428.841965219</v>
      </c>
    </row>
  </sheetData>
  <mergeCells count="28">
    <mergeCell ref="G1:H1"/>
    <mergeCell ref="B5:B8"/>
    <mergeCell ref="G5:G8"/>
    <mergeCell ref="M1:N1"/>
    <mergeCell ref="C31:E31"/>
    <mergeCell ref="C34:E34"/>
    <mergeCell ref="C35:E35"/>
    <mergeCell ref="B1:C1"/>
    <mergeCell ref="C42:E42"/>
    <mergeCell ref="C36:E36"/>
    <mergeCell ref="B37:E37"/>
    <mergeCell ref="C32:E32"/>
    <mergeCell ref="C33:E33"/>
    <mergeCell ref="C54:E54"/>
    <mergeCell ref="C55:E55"/>
    <mergeCell ref="C56:E56"/>
    <mergeCell ref="C43:E43"/>
    <mergeCell ref="C44:E44"/>
    <mergeCell ref="C45:E45"/>
    <mergeCell ref="B49:E49"/>
    <mergeCell ref="C46:E46"/>
    <mergeCell ref="C47:E47"/>
    <mergeCell ref="C48:E48"/>
    <mergeCell ref="C60:E60"/>
    <mergeCell ref="B61:E61"/>
    <mergeCell ref="C57:E57"/>
    <mergeCell ref="C58:E58"/>
    <mergeCell ref="C59:E5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4997-D17C-4934-8C87-6B41D44F9A33}">
  <dimension ref="A1:N63"/>
  <sheetViews>
    <sheetView showGridLines="0" zoomScale="110" zoomScaleNormal="110" workbookViewId="0">
      <selection activeCell="C2" sqref="C2"/>
    </sheetView>
  </sheetViews>
  <sheetFormatPr defaultColWidth="11.42578125" defaultRowHeight="15"/>
  <cols>
    <col min="2" max="2" width="23.28515625" customWidth="1"/>
    <col min="3" max="6" width="19.28515625" customWidth="1"/>
    <col min="7" max="7" width="25.140625" customWidth="1"/>
    <col min="8" max="11" width="19.28515625" customWidth="1"/>
    <col min="12" max="12" width="3.28515625" customWidth="1"/>
    <col min="14" max="14" width="22.28515625" bestFit="1" customWidth="1"/>
  </cols>
  <sheetData>
    <row r="1" spans="1:14">
      <c r="B1" s="132" t="s">
        <v>74</v>
      </c>
      <c r="C1" s="132"/>
      <c r="G1" s="132" t="s">
        <v>52</v>
      </c>
      <c r="H1" s="132"/>
      <c r="M1" s="174" t="s">
        <v>54</v>
      </c>
      <c r="N1" s="175"/>
    </row>
    <row r="2" spans="1:14">
      <c r="B2" s="1" t="s">
        <v>17</v>
      </c>
      <c r="C2" s="83">
        <v>0.08</v>
      </c>
      <c r="G2" s="1" t="s">
        <v>17</v>
      </c>
      <c r="H2" s="6">
        <f>+'SUPUESTO1_AÑO 2023'!C2</f>
        <v>7.6700000000000004E-2</v>
      </c>
      <c r="M2" s="79"/>
      <c r="N2" s="80" t="s">
        <v>55</v>
      </c>
    </row>
    <row r="3" spans="1:14">
      <c r="B3" s="7" t="s">
        <v>18</v>
      </c>
      <c r="C3" s="6">
        <v>0.98</v>
      </c>
      <c r="G3" s="7" t="s">
        <v>18</v>
      </c>
      <c r="H3" s="78">
        <f>+'SUPUESTO1_AÑO 2023'!C3</f>
        <v>0.92</v>
      </c>
      <c r="M3" s="81"/>
      <c r="N3" s="82" t="s">
        <v>56</v>
      </c>
    </row>
    <row r="4" spans="1:14">
      <c r="B4" s="1" t="s">
        <v>19</v>
      </c>
      <c r="C4" s="6">
        <v>0.18</v>
      </c>
      <c r="G4" s="1" t="s">
        <v>19</v>
      </c>
      <c r="H4" s="6">
        <f>+'SUPUESTO1_AÑO 2023'!C4</f>
        <v>0.18</v>
      </c>
    </row>
    <row r="5" spans="1:14" ht="15" customHeight="1">
      <c r="B5" s="171" t="s">
        <v>20</v>
      </c>
      <c r="C5" s="5">
        <v>2022</v>
      </c>
      <c r="D5" s="5">
        <v>2023</v>
      </c>
      <c r="E5" s="5">
        <v>2024</v>
      </c>
      <c r="F5" s="5">
        <v>2025</v>
      </c>
      <c r="G5" s="171" t="s">
        <v>20</v>
      </c>
      <c r="H5" s="5">
        <v>2022</v>
      </c>
      <c r="I5" s="5">
        <v>2023</v>
      </c>
      <c r="J5" s="5">
        <v>2024</v>
      </c>
      <c r="K5" s="5">
        <v>2025</v>
      </c>
      <c r="L5" s="4"/>
    </row>
    <row r="6" spans="1:14" ht="15" customHeight="1">
      <c r="B6" s="172"/>
      <c r="C6" s="93">
        <f>+'SUPUESTO1_AÑO 2023'!H6</f>
        <v>4.4999999999999998E-2</v>
      </c>
      <c r="D6" s="93">
        <f>+'SUPUESTO1_AÑO 2023'!D6</f>
        <v>0.04</v>
      </c>
      <c r="E6" s="6">
        <f>+'SUPUESTO1_AÑO 2023'!E6</f>
        <v>0.04</v>
      </c>
      <c r="F6" s="6">
        <f>+'SUPUESTO1_AÑO 2023'!F6</f>
        <v>0.04</v>
      </c>
      <c r="G6" s="172"/>
      <c r="H6" s="6">
        <f>+'SUPUESTO1_AÑO 2023'!C6</f>
        <v>4.4999999999999998E-2</v>
      </c>
      <c r="I6" s="6">
        <f>+'SUPUESTO1_AÑO 2023'!D6</f>
        <v>0.04</v>
      </c>
      <c r="J6" s="6">
        <f>+'SUPUESTO1_AÑO 2023'!E6</f>
        <v>0.04</v>
      </c>
      <c r="K6" s="6">
        <f>+'SUPUESTO1_AÑO 2023'!F6</f>
        <v>0.04</v>
      </c>
      <c r="L6" s="4"/>
    </row>
    <row r="7" spans="1:14" ht="15" customHeight="1">
      <c r="B7" s="172"/>
      <c r="C7" s="93">
        <f>+'SUPUESTO1_AÑO 2023'!H7</f>
        <v>1.4999999999999999E-2</v>
      </c>
      <c r="D7" s="93">
        <f>+'SUPUESTO1_AÑO 2023'!D7</f>
        <v>1.4999999999999999E-2</v>
      </c>
      <c r="E7" s="6">
        <f>+'SUPUESTO1_AÑO 2023'!E7</f>
        <v>1.4999999999999999E-2</v>
      </c>
      <c r="F7" s="6">
        <f>+'SUPUESTO1_AÑO 2023'!F7</f>
        <v>1.4999999999999999E-2</v>
      </c>
      <c r="G7" s="172"/>
      <c r="H7" s="6">
        <f>+'SITUACION INICIAL - 2021 Y 2022'!D6</f>
        <v>1.4999999999999999E-2</v>
      </c>
      <c r="I7" s="6">
        <f>+'SITUACION INICIAL - 2021 Y 2022'!E6</f>
        <v>1.4999999999999999E-2</v>
      </c>
      <c r="J7" s="6">
        <f>+'SITUACION INICIAL - 2021 Y 2022'!F6</f>
        <v>1.4999999999999999E-2</v>
      </c>
      <c r="K7" s="6">
        <f>+'SITUACION INICIAL - 2021 Y 2022'!G6</f>
        <v>1.4999999999999999E-2</v>
      </c>
      <c r="L7" s="4"/>
    </row>
    <row r="8" spans="1:14">
      <c r="B8" s="173"/>
      <c r="C8" s="94">
        <f>+SUM(C6:C7)</f>
        <v>0.06</v>
      </c>
      <c r="D8" s="94">
        <f t="shared" ref="D8:F8" si="0">+SUM(D6:D7)</f>
        <v>5.5E-2</v>
      </c>
      <c r="E8" s="77">
        <f t="shared" si="0"/>
        <v>5.5E-2</v>
      </c>
      <c r="F8" s="77">
        <f t="shared" si="0"/>
        <v>5.5E-2</v>
      </c>
      <c r="G8" s="173"/>
      <c r="H8" s="77">
        <f t="shared" ref="H8:K8" si="1">+SUM(H6:H7)</f>
        <v>0.06</v>
      </c>
      <c r="I8" s="77">
        <f t="shared" si="1"/>
        <v>5.5E-2</v>
      </c>
      <c r="J8" s="77">
        <f t="shared" si="1"/>
        <v>5.5E-2</v>
      </c>
      <c r="K8" s="77">
        <f t="shared" si="1"/>
        <v>5.5E-2</v>
      </c>
      <c r="L8" s="62"/>
    </row>
    <row r="10" spans="1:14" ht="51">
      <c r="A10" s="8" t="s">
        <v>21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 t="s">
        <v>27</v>
      </c>
      <c r="H10" s="8" t="s">
        <v>28</v>
      </c>
      <c r="I10" s="8" t="s">
        <v>29</v>
      </c>
      <c r="J10" s="8" t="s">
        <v>57</v>
      </c>
      <c r="K10" s="8" t="s">
        <v>58</v>
      </c>
      <c r="L10" s="84"/>
    </row>
    <row r="11" spans="1:14">
      <c r="A11" s="1">
        <v>1</v>
      </c>
      <c r="B11" s="85">
        <v>44561</v>
      </c>
      <c r="C11" s="86">
        <f>+'SITUACION INICIAL - 2021 Y 2022'!C23</f>
        <v>4342737</v>
      </c>
      <c r="D11" s="86">
        <f t="shared" ref="D11:D15" si="2">+C11*12</f>
        <v>52112844</v>
      </c>
      <c r="E11" s="86">
        <v>0</v>
      </c>
      <c r="F11" s="86">
        <v>0</v>
      </c>
      <c r="G11" s="102">
        <f>-PV($C$2,5-A11,,$D$20)</f>
        <v>1682060.3499942007</v>
      </c>
      <c r="H11" s="102">
        <f t="shared" ref="H11:H15" si="3">+SUM(F11:G11)</f>
        <v>1682060.3499942007</v>
      </c>
      <c r="I11" s="102">
        <f>+H11</f>
        <v>1682060.3499942007</v>
      </c>
      <c r="J11" s="95">
        <f>+'SUPUESTO1_AÑO 2023'!I11</f>
        <v>1598525.2290937717</v>
      </c>
      <c r="K11" s="176"/>
    </row>
    <row r="12" spans="1:14">
      <c r="A12" s="23">
        <v>2</v>
      </c>
      <c r="B12" s="88">
        <v>44926</v>
      </c>
      <c r="C12" s="89">
        <f>+'SITUACION INICIAL - 2021 Y 2022'!C24</f>
        <v>4603301.2200000007</v>
      </c>
      <c r="D12" s="89">
        <f t="shared" si="2"/>
        <v>55239614.640000008</v>
      </c>
      <c r="E12" s="89">
        <f>+I11</f>
        <v>1682060.3499942007</v>
      </c>
      <c r="F12" s="89">
        <f>+E12*$C$2</f>
        <v>134564.82799953606</v>
      </c>
      <c r="G12" s="103">
        <f t="shared" ref="G12:G15" si="4">-PV($C$2,5-A12,,$D$20)</f>
        <v>1816625.1779937369</v>
      </c>
      <c r="H12" s="103">
        <f t="shared" si="3"/>
        <v>1951190.0059932731</v>
      </c>
      <c r="I12" s="103">
        <f>+H12+I11</f>
        <v>3633250.3559874739</v>
      </c>
      <c r="J12" s="95">
        <f>+'SUPUESTO1_AÑO 2023'!I12</f>
        <v>3442264.2283305279</v>
      </c>
      <c r="K12" s="177"/>
      <c r="L12" s="10"/>
    </row>
    <row r="13" spans="1:14" ht="15.75" thickBot="1">
      <c r="A13" s="111">
        <v>3</v>
      </c>
      <c r="B13" s="125">
        <v>45291</v>
      </c>
      <c r="C13" s="126">
        <f>+C12*D8+C12</f>
        <v>4856482.7871000003</v>
      </c>
      <c r="D13" s="126">
        <f t="shared" si="2"/>
        <v>58277793.445200004</v>
      </c>
      <c r="E13" s="126">
        <f>+I12</f>
        <v>3633250.3559874739</v>
      </c>
      <c r="F13" s="126">
        <f>+E13*$C$2</f>
        <v>290660.02847899793</v>
      </c>
      <c r="G13" s="103">
        <f t="shared" si="4"/>
        <v>1961955.192233236</v>
      </c>
      <c r="H13" s="103">
        <f t="shared" si="3"/>
        <v>2252615.2207122338</v>
      </c>
      <c r="I13" s="112">
        <f>+H13+I12</f>
        <v>5885865.5766997077</v>
      </c>
      <c r="J13" s="95">
        <f>+'SUPUESTO1_AÑO 2023'!I13</f>
        <v>5559428.841965219</v>
      </c>
      <c r="K13" s="86">
        <f>+I13-J13</f>
        <v>326436.73473448865</v>
      </c>
    </row>
    <row r="14" spans="1:14" ht="15.75" thickBot="1">
      <c r="A14" s="113">
        <v>4</v>
      </c>
      <c r="B14" s="90">
        <v>45657</v>
      </c>
      <c r="C14" s="91">
        <f>+C13*E8+C13</f>
        <v>5123589.3403905006</v>
      </c>
      <c r="D14" s="91">
        <f t="shared" si="2"/>
        <v>61483072.084686011</v>
      </c>
      <c r="E14" s="91">
        <f>+I13</f>
        <v>5885865.5766997077</v>
      </c>
      <c r="F14" s="91">
        <f>+E14*$C$2</f>
        <v>470869.24613597663</v>
      </c>
      <c r="G14" s="91">
        <f t="shared" si="4"/>
        <v>2118911.6076118951</v>
      </c>
      <c r="H14" s="91">
        <f t="shared" si="3"/>
        <v>2589780.8537478717</v>
      </c>
      <c r="I14" s="114">
        <f>+H14+I13</f>
        <v>8475646.4304475784</v>
      </c>
    </row>
    <row r="15" spans="1:14">
      <c r="A15" s="97">
        <v>5</v>
      </c>
      <c r="B15" s="98">
        <v>46022</v>
      </c>
      <c r="C15" s="99">
        <f>+C14*F8+C14</f>
        <v>5405386.7541119782</v>
      </c>
      <c r="D15" s="99">
        <f t="shared" si="2"/>
        <v>64864641.049343735</v>
      </c>
      <c r="E15" s="99">
        <f>+I14</f>
        <v>8475646.4304475784</v>
      </c>
      <c r="F15" s="99">
        <f>+E15*$C$2</f>
        <v>678051.71443580627</v>
      </c>
      <c r="G15" s="99">
        <f t="shared" si="4"/>
        <v>2288424.5362208467</v>
      </c>
      <c r="H15" s="99">
        <f t="shared" si="3"/>
        <v>2966476.2506566532</v>
      </c>
      <c r="I15" s="99">
        <f>+H15+I14</f>
        <v>11442122.681104232</v>
      </c>
      <c r="J15" s="124"/>
    </row>
    <row r="16" spans="1:14">
      <c r="A16" s="29"/>
      <c r="B16" s="30"/>
      <c r="C16" s="9"/>
      <c r="D16" s="9"/>
      <c r="E16" s="9"/>
      <c r="F16" s="9"/>
      <c r="G16" s="9"/>
      <c r="H16" s="9"/>
      <c r="I16" s="10"/>
    </row>
    <row r="17" spans="2:7">
      <c r="F17" s="9"/>
    </row>
    <row r="18" spans="2:7">
      <c r="B18" s="4" t="s">
        <v>30</v>
      </c>
      <c r="D18" s="9">
        <f>+D15*C4</f>
        <v>11675635.388881871</v>
      </c>
    </row>
    <row r="19" spans="2:7">
      <c r="B19" s="4" t="s">
        <v>31</v>
      </c>
      <c r="D19" s="10">
        <f>+D18*C3</f>
        <v>11442122.681104233</v>
      </c>
    </row>
    <row r="20" spans="2:7">
      <c r="B20" s="4" t="s">
        <v>59</v>
      </c>
      <c r="D20" s="10">
        <f>+D19/5</f>
        <v>2288424.5362208467</v>
      </c>
    </row>
    <row r="23" spans="2:7" s="108" customFormat="1">
      <c r="B23" s="7" t="s">
        <v>60</v>
      </c>
      <c r="C23" s="7" t="s">
        <v>61</v>
      </c>
      <c r="D23" s="7" t="s">
        <v>62</v>
      </c>
      <c r="E23" s="7" t="s">
        <v>63</v>
      </c>
    </row>
    <row r="24" spans="2:7" ht="43.5" customHeight="1">
      <c r="B24" s="109" t="s">
        <v>75</v>
      </c>
      <c r="C24" s="109">
        <f>+I13</f>
        <v>5885865.5766997077</v>
      </c>
      <c r="D24" s="109">
        <f>+J13</f>
        <v>5559428.841965219</v>
      </c>
      <c r="E24" s="109">
        <f>+C24-D24</f>
        <v>326436.73473448865</v>
      </c>
    </row>
    <row r="25" spans="2:7" ht="43.5" customHeight="1">
      <c r="B25" s="110" t="s">
        <v>76</v>
      </c>
      <c r="C25" s="109">
        <f>+F14</f>
        <v>470869.24613597663</v>
      </c>
    </row>
    <row r="26" spans="2:7">
      <c r="B26" s="5" t="s">
        <v>44</v>
      </c>
      <c r="C26" s="11">
        <f>+SUM(C24:C25)</f>
        <v>6356734.8228356838</v>
      </c>
      <c r="D26" s="11">
        <f>+SUM(D24:D25)</f>
        <v>5559428.841965219</v>
      </c>
      <c r="E26" s="11">
        <f>+SUM(E24:E25)</f>
        <v>326436.73473448865</v>
      </c>
    </row>
    <row r="29" spans="2:7">
      <c r="B29" s="4" t="s">
        <v>77</v>
      </c>
    </row>
    <row r="31" spans="2:7">
      <c r="B31" s="122" t="s">
        <v>34</v>
      </c>
      <c r="C31" s="133" t="s">
        <v>35</v>
      </c>
      <c r="D31" s="133"/>
      <c r="E31" s="133"/>
      <c r="F31" s="122" t="s">
        <v>36</v>
      </c>
      <c r="G31" s="122" t="s">
        <v>37</v>
      </c>
    </row>
    <row r="32" spans="2:7" s="59" customFormat="1" ht="16.5" customHeight="1">
      <c r="B32" s="57">
        <v>5107</v>
      </c>
      <c r="C32" s="170" t="s">
        <v>38</v>
      </c>
      <c r="D32" s="170"/>
      <c r="E32" s="130"/>
      <c r="F32" s="61"/>
      <c r="G32" s="60"/>
    </row>
    <row r="33" spans="2:9" s="59" customFormat="1">
      <c r="B33" s="57">
        <v>510795</v>
      </c>
      <c r="C33" s="170" t="s">
        <v>39</v>
      </c>
      <c r="D33" s="170"/>
      <c r="E33" s="130"/>
      <c r="F33" s="3">
        <f>+G14</f>
        <v>2118911.6076118951</v>
      </c>
      <c r="G33" s="60"/>
    </row>
    <row r="34" spans="2:9">
      <c r="B34" s="57">
        <v>2512</v>
      </c>
      <c r="C34" s="170" t="s">
        <v>40</v>
      </c>
      <c r="D34" s="170"/>
      <c r="E34" s="130"/>
      <c r="G34" s="22"/>
    </row>
    <row r="35" spans="2:9">
      <c r="B35" s="57">
        <v>251290</v>
      </c>
      <c r="C35" s="170" t="s">
        <v>41</v>
      </c>
      <c r="D35" s="170"/>
      <c r="E35" s="130"/>
      <c r="F35" s="22"/>
      <c r="G35" s="22"/>
    </row>
    <row r="36" spans="2:9">
      <c r="B36" s="57" t="s">
        <v>42</v>
      </c>
      <c r="C36" s="170" t="s">
        <v>43</v>
      </c>
      <c r="D36" s="170"/>
      <c r="E36" s="130"/>
      <c r="F36" s="22"/>
      <c r="G36" s="3">
        <f>+F33</f>
        <v>2118911.6076118951</v>
      </c>
      <c r="I36" s="9"/>
    </row>
    <row r="37" spans="2:9">
      <c r="B37" s="127" t="s">
        <v>50</v>
      </c>
      <c r="C37" s="128"/>
      <c r="D37" s="128"/>
      <c r="E37" s="129"/>
      <c r="F37" s="123">
        <f>+SUM(F32:F36)</f>
        <v>2118911.6076118951</v>
      </c>
      <c r="G37" s="123">
        <f>+SUM(G32:G36)</f>
        <v>2118911.6076118951</v>
      </c>
    </row>
    <row r="40" spans="2:9">
      <c r="B40" s="4" t="s">
        <v>67</v>
      </c>
    </row>
    <row r="42" spans="2:9">
      <c r="B42" s="122" t="s">
        <v>34</v>
      </c>
      <c r="C42" s="133" t="s">
        <v>35</v>
      </c>
      <c r="D42" s="133"/>
      <c r="E42" s="133"/>
      <c r="F42" s="122" t="s">
        <v>36</v>
      </c>
      <c r="G42" s="122" t="s">
        <v>37</v>
      </c>
    </row>
    <row r="43" spans="2:9">
      <c r="B43" s="57">
        <v>5108</v>
      </c>
      <c r="C43" s="170" t="s">
        <v>46</v>
      </c>
      <c r="D43" s="170"/>
      <c r="E43" s="130"/>
      <c r="F43" s="22"/>
      <c r="G43" s="22"/>
    </row>
    <row r="44" spans="2:9">
      <c r="B44" s="57">
        <v>510812</v>
      </c>
      <c r="C44" s="170" t="s">
        <v>47</v>
      </c>
      <c r="D44" s="170"/>
      <c r="E44" s="130"/>
      <c r="F44" s="22"/>
      <c r="G44" s="22"/>
    </row>
    <row r="45" spans="2:9">
      <c r="B45" s="57" t="s">
        <v>48</v>
      </c>
      <c r="C45" s="170" t="s">
        <v>78</v>
      </c>
      <c r="D45" s="170"/>
      <c r="E45" s="130"/>
      <c r="F45" s="3">
        <f>+K13</f>
        <v>326436.73473448865</v>
      </c>
      <c r="G45" s="22"/>
    </row>
    <row r="46" spans="2:9">
      <c r="B46" s="57">
        <v>2512</v>
      </c>
      <c r="C46" s="170" t="s">
        <v>40</v>
      </c>
      <c r="D46" s="170"/>
      <c r="E46" s="130"/>
      <c r="G46" s="22"/>
    </row>
    <row r="47" spans="2:9">
      <c r="B47" s="57">
        <v>251290</v>
      </c>
      <c r="C47" s="170" t="s">
        <v>41</v>
      </c>
      <c r="D47" s="170"/>
      <c r="E47" s="130"/>
      <c r="F47" s="22"/>
      <c r="G47" s="22"/>
    </row>
    <row r="48" spans="2:9">
      <c r="B48" s="57" t="s">
        <v>42</v>
      </c>
      <c r="C48" s="170" t="s">
        <v>43</v>
      </c>
      <c r="D48" s="170"/>
      <c r="E48" s="130"/>
      <c r="F48" s="22"/>
      <c r="G48" s="3">
        <f>+F45</f>
        <v>326436.73473448865</v>
      </c>
    </row>
    <row r="49" spans="2:7">
      <c r="B49" s="127" t="s">
        <v>50</v>
      </c>
      <c r="C49" s="128"/>
      <c r="D49" s="128"/>
      <c r="E49" s="129"/>
      <c r="F49" s="123">
        <f>+SUM(F43:F48)</f>
        <v>326436.73473448865</v>
      </c>
      <c r="G49" s="123">
        <f>+SUM(G43:G48)</f>
        <v>326436.73473448865</v>
      </c>
    </row>
    <row r="52" spans="2:7">
      <c r="B52" s="4" t="s">
        <v>71</v>
      </c>
    </row>
    <row r="54" spans="2:7">
      <c r="B54" s="122" t="s">
        <v>34</v>
      </c>
      <c r="C54" s="133" t="s">
        <v>35</v>
      </c>
      <c r="D54" s="133"/>
      <c r="E54" s="133"/>
      <c r="F54" s="122" t="s">
        <v>36</v>
      </c>
      <c r="G54" s="122" t="s">
        <v>37</v>
      </c>
    </row>
    <row r="55" spans="2:7">
      <c r="B55" s="57">
        <v>5108</v>
      </c>
      <c r="C55" s="170" t="s">
        <v>46</v>
      </c>
      <c r="D55" s="170"/>
      <c r="E55" s="130"/>
      <c r="F55" s="22"/>
      <c r="G55" s="22"/>
    </row>
    <row r="56" spans="2:7">
      <c r="B56" s="57">
        <v>510812</v>
      </c>
      <c r="C56" s="170" t="s">
        <v>47</v>
      </c>
      <c r="D56" s="170"/>
      <c r="E56" s="130"/>
      <c r="F56" s="22"/>
      <c r="G56" s="22"/>
    </row>
    <row r="57" spans="2:7">
      <c r="B57" s="57" t="s">
        <v>48</v>
      </c>
      <c r="C57" s="170" t="s">
        <v>72</v>
      </c>
      <c r="D57" s="170"/>
      <c r="E57" s="130"/>
      <c r="F57" s="3">
        <f>+F14</f>
        <v>470869.24613597663</v>
      </c>
      <c r="G57" s="22"/>
    </row>
    <row r="58" spans="2:7">
      <c r="B58" s="57">
        <v>2512</v>
      </c>
      <c r="C58" s="170" t="s">
        <v>40</v>
      </c>
      <c r="D58" s="170"/>
      <c r="E58" s="130"/>
      <c r="G58" s="22"/>
    </row>
    <row r="59" spans="2:7">
      <c r="B59" s="57">
        <v>251290</v>
      </c>
      <c r="C59" s="170" t="s">
        <v>41</v>
      </c>
      <c r="D59" s="170"/>
      <c r="E59" s="130"/>
      <c r="F59" s="22"/>
      <c r="G59" s="22"/>
    </row>
    <row r="60" spans="2:7">
      <c r="B60" s="57" t="s">
        <v>42</v>
      </c>
      <c r="C60" s="170" t="s">
        <v>43</v>
      </c>
      <c r="D60" s="170"/>
      <c r="E60" s="130"/>
      <c r="F60" s="22"/>
      <c r="G60" s="3">
        <f>+F57</f>
        <v>470869.24613597663</v>
      </c>
    </row>
    <row r="61" spans="2:7">
      <c r="B61" s="127" t="s">
        <v>50</v>
      </c>
      <c r="C61" s="128"/>
      <c r="D61" s="128"/>
      <c r="E61" s="129"/>
      <c r="F61" s="123">
        <f>+SUM(F55:F60)</f>
        <v>470869.24613597663</v>
      </c>
      <c r="G61" s="123">
        <f>+SUM(G55:G60)</f>
        <v>470869.24613597663</v>
      </c>
    </row>
    <row r="63" spans="2:7" s="76" customFormat="1" ht="15.75">
      <c r="B63" s="75" t="s">
        <v>79</v>
      </c>
      <c r="G63" s="105">
        <f>+'SUPUESTO1_AÑO 2023'!G63+'SUPUESTO2_AÑO 2024'!G36+'SUPUESTO2_AÑO 2024'!G48+'SUPUESTO2_AÑO 2024'!G60</f>
        <v>8475646.4304475784</v>
      </c>
    </row>
  </sheetData>
  <mergeCells count="29">
    <mergeCell ref="B1:C1"/>
    <mergeCell ref="G1:H1"/>
    <mergeCell ref="M1:N1"/>
    <mergeCell ref="B5:B8"/>
    <mergeCell ref="G5:G8"/>
    <mergeCell ref="B37:E37"/>
    <mergeCell ref="K11:K12"/>
    <mergeCell ref="C42:E42"/>
    <mergeCell ref="C34:E34"/>
    <mergeCell ref="C35:E35"/>
    <mergeCell ref="C36:E36"/>
    <mergeCell ref="C32:E32"/>
    <mergeCell ref="C33:E33"/>
    <mergeCell ref="C31:E31"/>
    <mergeCell ref="C48:E48"/>
    <mergeCell ref="B49:E49"/>
    <mergeCell ref="C54:E54"/>
    <mergeCell ref="C43:E43"/>
    <mergeCell ref="C44:E44"/>
    <mergeCell ref="C45:E45"/>
    <mergeCell ref="C46:E46"/>
    <mergeCell ref="C47:E47"/>
    <mergeCell ref="C60:E60"/>
    <mergeCell ref="B61:E61"/>
    <mergeCell ref="C55:E55"/>
    <mergeCell ref="C56:E56"/>
    <mergeCell ref="C57:E57"/>
    <mergeCell ref="C58:E58"/>
    <mergeCell ref="C59:E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I19"/>
  <sheetViews>
    <sheetView showGridLines="0" workbookViewId="0">
      <selection activeCell="H4" sqref="H4"/>
    </sheetView>
  </sheetViews>
  <sheetFormatPr defaultColWidth="11.42578125" defaultRowHeight="15"/>
  <cols>
    <col min="3" max="3" width="13.85546875" customWidth="1"/>
  </cols>
  <sheetData>
    <row r="1" spans="1:9">
      <c r="B1" s="132" t="s">
        <v>80</v>
      </c>
      <c r="C1" s="132"/>
    </row>
    <row r="2" spans="1:9">
      <c r="B2" s="1" t="s">
        <v>17</v>
      </c>
      <c r="C2" s="6">
        <v>5.5599999999999997E-2</v>
      </c>
    </row>
    <row r="3" spans="1:9" ht="30">
      <c r="B3" s="7" t="s">
        <v>81</v>
      </c>
      <c r="C3" s="6">
        <v>0.4</v>
      </c>
    </row>
    <row r="4" spans="1:9">
      <c r="B4" s="1" t="s">
        <v>19</v>
      </c>
      <c r="C4" s="6">
        <v>0.18</v>
      </c>
    </row>
    <row r="5" spans="1:9">
      <c r="B5" s="135" t="s">
        <v>82</v>
      </c>
      <c r="C5" s="5">
        <v>2020</v>
      </c>
      <c r="D5" s="5">
        <v>2021</v>
      </c>
      <c r="E5" s="5">
        <f>+D5+1</f>
        <v>2022</v>
      </c>
      <c r="F5" s="5">
        <f>+E5+1</f>
        <v>2023</v>
      </c>
    </row>
    <row r="6" spans="1:9">
      <c r="B6" s="135"/>
      <c r="C6" s="6">
        <v>5.1200000000000002E-2</v>
      </c>
      <c r="D6" s="6">
        <v>0.02</v>
      </c>
      <c r="E6" s="6">
        <v>2.8000000000000001E-2</v>
      </c>
      <c r="F6" s="6">
        <v>2.5000000000000001E-2</v>
      </c>
    </row>
    <row r="8" spans="1:9" ht="51">
      <c r="A8" s="8" t="s">
        <v>21</v>
      </c>
      <c r="B8" s="8" t="s">
        <v>83</v>
      </c>
      <c r="C8" s="8" t="s">
        <v>84</v>
      </c>
      <c r="D8" s="8" t="s">
        <v>85</v>
      </c>
      <c r="E8" s="8" t="s">
        <v>25</v>
      </c>
      <c r="F8" s="8" t="s">
        <v>86</v>
      </c>
      <c r="G8" s="8" t="s">
        <v>27</v>
      </c>
      <c r="H8" s="8" t="s">
        <v>28</v>
      </c>
      <c r="I8" s="8" t="s">
        <v>87</v>
      </c>
    </row>
    <row r="9" spans="1:9">
      <c r="A9" s="1">
        <v>1</v>
      </c>
      <c r="B9" s="2">
        <v>43830</v>
      </c>
      <c r="C9" s="3">
        <v>5000000</v>
      </c>
      <c r="D9" s="3">
        <f>+C9*12</f>
        <v>60000000</v>
      </c>
      <c r="E9" s="3">
        <v>0</v>
      </c>
      <c r="F9" s="3">
        <v>0</v>
      </c>
      <c r="G9" s="3">
        <f>+PV($C$2,4,,-D18)</f>
        <v>786174.07854528935</v>
      </c>
      <c r="H9" s="3">
        <f>+SUM(F9:G9)</f>
        <v>786174.07854528935</v>
      </c>
      <c r="I9" s="3">
        <f>+H9</f>
        <v>786174.07854528935</v>
      </c>
    </row>
    <row r="10" spans="1:9">
      <c r="A10" s="1">
        <v>2</v>
      </c>
      <c r="B10" s="2">
        <v>44196</v>
      </c>
      <c r="C10" s="3">
        <f>+C9*C6+C9</f>
        <v>5256000</v>
      </c>
      <c r="D10" s="3">
        <f>+C10*12</f>
        <v>63072000</v>
      </c>
      <c r="E10" s="3">
        <f>+I9</f>
        <v>786174.07854528935</v>
      </c>
      <c r="F10" s="3">
        <f>+E10*$C$2</f>
        <v>43711.278767118085</v>
      </c>
      <c r="G10" s="3">
        <f>+PV($C$2,3,,-$D$18)</f>
        <v>829885.35731240758</v>
      </c>
      <c r="H10" s="3">
        <f>+SUM(F10:G10)</f>
        <v>873596.63607952569</v>
      </c>
      <c r="I10" s="3">
        <f>+H10+I9</f>
        <v>1659770.7146248152</v>
      </c>
    </row>
    <row r="11" spans="1:9">
      <c r="A11" s="1">
        <v>3</v>
      </c>
      <c r="B11" s="2">
        <v>44561</v>
      </c>
      <c r="C11" s="3">
        <f>+C10*D6+C10</f>
        <v>5361120</v>
      </c>
      <c r="D11" s="3">
        <f>+C11*12</f>
        <v>64333440</v>
      </c>
      <c r="E11" s="3">
        <f>+I10</f>
        <v>1659770.7146248152</v>
      </c>
      <c r="F11" s="3">
        <f>+E11*$C$2</f>
        <v>92283.25173313971</v>
      </c>
      <c r="G11" s="3">
        <f>+PV($C$2,2,,-$D$18)</f>
        <v>876026.98317897739</v>
      </c>
      <c r="H11" s="3">
        <f>+SUM(F11:G11)</f>
        <v>968310.23491211713</v>
      </c>
      <c r="I11" s="3">
        <f>+H11+I10</f>
        <v>2628080.9495369322</v>
      </c>
    </row>
    <row r="12" spans="1:9" ht="15.75" thickBot="1">
      <c r="A12" s="23">
        <v>4</v>
      </c>
      <c r="B12" s="24">
        <v>44926</v>
      </c>
      <c r="C12" s="25">
        <f>+C11*E6+C11</f>
        <v>5511231.3600000003</v>
      </c>
      <c r="D12" s="25">
        <f>+C12*12</f>
        <v>66134776.320000008</v>
      </c>
      <c r="E12" s="25">
        <f>+I11</f>
        <v>2628080.9495369322</v>
      </c>
      <c r="F12" s="25">
        <f>+E12*$C$2</f>
        <v>146121.30079425342</v>
      </c>
      <c r="G12" s="25">
        <f>+PV($C$2,1,,-$D$18)</f>
        <v>924734.08344372862</v>
      </c>
      <c r="H12" s="25">
        <f>+SUM(F12:G12)</f>
        <v>1070855.3842379821</v>
      </c>
      <c r="I12" s="25">
        <f>+H12+I11</f>
        <v>3698936.333774914</v>
      </c>
    </row>
    <row r="13" spans="1:9" ht="15.75" thickBot="1">
      <c r="A13" s="26">
        <v>5</v>
      </c>
      <c r="B13" s="27">
        <v>45291</v>
      </c>
      <c r="C13" s="28">
        <f>+C12*F6+C12</f>
        <v>5649012.1440000003</v>
      </c>
      <c r="D13" s="28">
        <f>+C13*12</f>
        <v>67788145.728</v>
      </c>
      <c r="E13" s="28">
        <f>+I12</f>
        <v>3698936.333774914</v>
      </c>
      <c r="F13" s="28">
        <f>+E13*$C$2</f>
        <v>205660.86015788521</v>
      </c>
      <c r="G13" s="28">
        <f>+PV($C$2,0,,-$D$18)</f>
        <v>976149.29848320002</v>
      </c>
      <c r="H13" s="28">
        <f>+SUM(F13:G13)</f>
        <v>1181810.1586410853</v>
      </c>
      <c r="I13" s="31">
        <f>+H13+I12</f>
        <v>4880746.4924159991</v>
      </c>
    </row>
    <row r="14" spans="1:9">
      <c r="A14" s="29"/>
      <c r="B14" s="30"/>
      <c r="C14" s="9"/>
      <c r="D14" s="9"/>
      <c r="E14" s="9"/>
      <c r="F14" s="9"/>
      <c r="G14" s="9"/>
      <c r="H14" s="9"/>
      <c r="I14" s="10"/>
    </row>
    <row r="15" spans="1:9">
      <c r="D15" s="32" t="s">
        <v>88</v>
      </c>
      <c r="F15" s="32" t="s">
        <v>89</v>
      </c>
    </row>
    <row r="16" spans="1:9">
      <c r="B16" s="4" t="s">
        <v>90</v>
      </c>
      <c r="D16" s="9">
        <f>+D13*C4</f>
        <v>12201866.231039999</v>
      </c>
      <c r="F16" s="9">
        <f>+E13*D4</f>
        <v>0</v>
      </c>
      <c r="G16" s="9"/>
      <c r="I16" s="9"/>
    </row>
    <row r="17" spans="2:9" ht="15.75" thickBot="1">
      <c r="B17" s="4" t="s">
        <v>91</v>
      </c>
      <c r="D17" s="33">
        <f>+D16*C3</f>
        <v>4880746.492416</v>
      </c>
      <c r="F17" s="33">
        <f>+I12</f>
        <v>3698936.333774914</v>
      </c>
      <c r="I17" s="9"/>
    </row>
    <row r="18" spans="2:9" ht="15.75" hidden="1" thickTop="1">
      <c r="B18" s="4" t="s">
        <v>59</v>
      </c>
      <c r="D18" s="10">
        <f>+D17/5</f>
        <v>976149.29848320002</v>
      </c>
      <c r="F18" s="10">
        <f>+F17/5</f>
        <v>739787.26675498276</v>
      </c>
      <c r="I18" s="9"/>
    </row>
    <row r="19" spans="2:9" ht="15.75" thickTop="1">
      <c r="B19" s="4" t="s">
        <v>92</v>
      </c>
      <c r="D19" s="34">
        <f>+D16-D17</f>
        <v>7321119.7386239991</v>
      </c>
      <c r="F19" s="34">
        <f>+F16-F17</f>
        <v>-3698936.333774914</v>
      </c>
      <c r="I19" s="9"/>
    </row>
  </sheetData>
  <mergeCells count="2">
    <mergeCell ref="B1:C1"/>
    <mergeCell ref="B5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9726-2DBF-49C3-A28C-E499F1BC9233}">
  <dimension ref="A1:N62"/>
  <sheetViews>
    <sheetView showGridLines="0" topLeftCell="A37" zoomScale="110" zoomScaleNormal="110" workbookViewId="0">
      <selection activeCell="B55" sqref="B55"/>
    </sheetView>
  </sheetViews>
  <sheetFormatPr defaultColWidth="11.42578125" defaultRowHeight="15"/>
  <cols>
    <col min="2" max="2" width="23.28515625" customWidth="1"/>
    <col min="3" max="6" width="19.28515625" customWidth="1"/>
    <col min="7" max="7" width="25.140625" customWidth="1"/>
    <col min="8" max="11" width="19.28515625" customWidth="1"/>
    <col min="12" max="12" width="3.28515625" customWidth="1"/>
    <col min="14" max="14" width="22.28515625" bestFit="1" customWidth="1"/>
  </cols>
  <sheetData>
    <row r="1" spans="1:14">
      <c r="B1" s="132" t="s">
        <v>93</v>
      </c>
      <c r="C1" s="132"/>
      <c r="G1" s="132" t="s">
        <v>74</v>
      </c>
      <c r="H1" s="132"/>
      <c r="M1" s="174" t="s">
        <v>54</v>
      </c>
      <c r="N1" s="175"/>
    </row>
    <row r="2" spans="1:14">
      <c r="B2" s="1" t="s">
        <v>17</v>
      </c>
      <c r="C2" s="6">
        <f>+H2</f>
        <v>0.08</v>
      </c>
      <c r="G2" s="1" t="s">
        <v>17</v>
      </c>
      <c r="H2" s="6">
        <f>+'SUPUESTO2_AÑO 2024'!C2</f>
        <v>0.08</v>
      </c>
      <c r="M2" s="79"/>
      <c r="N2" s="80" t="s">
        <v>55</v>
      </c>
    </row>
    <row r="3" spans="1:14">
      <c r="B3" s="7" t="s">
        <v>18</v>
      </c>
      <c r="C3" s="6">
        <f t="shared" ref="C3:C4" si="0">+H3</f>
        <v>0.98</v>
      </c>
      <c r="G3" s="7" t="s">
        <v>18</v>
      </c>
      <c r="H3" s="6">
        <f>+'SUPUESTO2_AÑO 2024'!C3</f>
        <v>0.98</v>
      </c>
      <c r="M3" s="81"/>
      <c r="N3" s="82" t="s">
        <v>56</v>
      </c>
    </row>
    <row r="4" spans="1:14">
      <c r="B4" s="1" t="s">
        <v>19</v>
      </c>
      <c r="C4" s="6">
        <f t="shared" si="0"/>
        <v>0.18</v>
      </c>
      <c r="G4" s="1" t="s">
        <v>19</v>
      </c>
      <c r="H4" s="6">
        <f>+'SUPUESTO2_AÑO 2024'!C4</f>
        <v>0.18</v>
      </c>
    </row>
    <row r="5" spans="1:14" ht="15" customHeight="1">
      <c r="B5" s="171" t="s">
        <v>20</v>
      </c>
      <c r="C5" s="5">
        <v>2022</v>
      </c>
      <c r="D5" s="5">
        <v>2023</v>
      </c>
      <c r="E5" s="5">
        <v>2024</v>
      </c>
      <c r="F5" s="5">
        <v>2025</v>
      </c>
      <c r="G5" s="171" t="s">
        <v>20</v>
      </c>
      <c r="H5" s="5">
        <v>2022</v>
      </c>
      <c r="I5" s="5">
        <v>2023</v>
      </c>
      <c r="J5" s="5">
        <v>2024</v>
      </c>
      <c r="K5" s="5">
        <v>2025</v>
      </c>
      <c r="L5" s="4"/>
    </row>
    <row r="6" spans="1:14" ht="15" customHeight="1">
      <c r="B6" s="172"/>
      <c r="C6" s="93">
        <f>+H6</f>
        <v>4.4999999999999998E-2</v>
      </c>
      <c r="D6" s="93">
        <f t="shared" ref="D6:F6" si="1">+I6</f>
        <v>0.04</v>
      </c>
      <c r="E6" s="93">
        <f t="shared" si="1"/>
        <v>0.04</v>
      </c>
      <c r="F6" s="6">
        <f t="shared" si="1"/>
        <v>0.04</v>
      </c>
      <c r="G6" s="172"/>
      <c r="H6" s="6">
        <f>+'SUPUESTO2_AÑO 2024'!C6</f>
        <v>4.4999999999999998E-2</v>
      </c>
      <c r="I6" s="6">
        <f>+'SUPUESTO2_AÑO 2024'!D6</f>
        <v>0.04</v>
      </c>
      <c r="J6" s="6">
        <f>+'SUPUESTO2_AÑO 2024'!E6</f>
        <v>0.04</v>
      </c>
      <c r="K6" s="6">
        <f>+'SUPUESTO2_AÑO 2024'!F6</f>
        <v>0.04</v>
      </c>
      <c r="L6" s="4"/>
    </row>
    <row r="7" spans="1:14" ht="15" customHeight="1">
      <c r="B7" s="172"/>
      <c r="C7" s="93">
        <f>+H7</f>
        <v>1.4999999999999999E-2</v>
      </c>
      <c r="D7" s="93">
        <f t="shared" ref="D7" si="2">+I7</f>
        <v>1.4999999999999999E-2</v>
      </c>
      <c r="E7" s="93">
        <f t="shared" ref="E7" si="3">+J7</f>
        <v>1.4999999999999999E-2</v>
      </c>
      <c r="F7" s="6">
        <f t="shared" ref="F7" si="4">+K7</f>
        <v>1.4999999999999999E-2</v>
      </c>
      <c r="G7" s="172"/>
      <c r="H7" s="6">
        <f>+'SUPUESTO2_AÑO 2024'!C7</f>
        <v>1.4999999999999999E-2</v>
      </c>
      <c r="I7" s="6">
        <f>+'SUPUESTO2_AÑO 2024'!D7</f>
        <v>1.4999999999999999E-2</v>
      </c>
      <c r="J7" s="6">
        <f>+'SUPUESTO2_AÑO 2024'!E7</f>
        <v>1.4999999999999999E-2</v>
      </c>
      <c r="K7" s="6">
        <f>+'SUPUESTO2_AÑO 2024'!F7</f>
        <v>1.4999999999999999E-2</v>
      </c>
      <c r="L7" s="4"/>
    </row>
    <row r="8" spans="1:14">
      <c r="B8" s="173"/>
      <c r="C8" s="94">
        <f>+SUM(C6:C7)</f>
        <v>0.06</v>
      </c>
      <c r="D8" s="94">
        <f t="shared" ref="D8:F8" si="5">+SUM(D6:D7)</f>
        <v>5.5E-2</v>
      </c>
      <c r="E8" s="94">
        <f t="shared" si="5"/>
        <v>5.5E-2</v>
      </c>
      <c r="F8" s="77">
        <f t="shared" si="5"/>
        <v>5.5E-2</v>
      </c>
      <c r="G8" s="173"/>
      <c r="H8" s="77">
        <f t="shared" ref="H8:K8" si="6">+SUM(H6:H7)</f>
        <v>0.06</v>
      </c>
      <c r="I8" s="77">
        <f t="shared" si="6"/>
        <v>5.5E-2</v>
      </c>
      <c r="J8" s="77">
        <f t="shared" si="6"/>
        <v>5.5E-2</v>
      </c>
      <c r="K8" s="77">
        <f t="shared" si="6"/>
        <v>5.5E-2</v>
      </c>
      <c r="L8" s="62"/>
    </row>
    <row r="10" spans="1:14" ht="51">
      <c r="A10" s="8" t="s">
        <v>21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 t="s">
        <v>27</v>
      </c>
      <c r="H10" s="8" t="s">
        <v>28</v>
      </c>
      <c r="I10" s="8" t="s">
        <v>29</v>
      </c>
    </row>
    <row r="11" spans="1:14">
      <c r="A11" s="1">
        <v>1</v>
      </c>
      <c r="B11" s="85">
        <v>44561</v>
      </c>
      <c r="C11" s="86">
        <f>+'SITUACION INICIAL - 2021 Y 2022'!C23</f>
        <v>4342737</v>
      </c>
      <c r="D11" s="86">
        <f t="shared" ref="D11:D15" si="7">+C11*12</f>
        <v>52112844</v>
      </c>
      <c r="E11" s="86">
        <v>0</v>
      </c>
      <c r="F11" s="86">
        <v>0</v>
      </c>
      <c r="G11" s="86">
        <f>+'SUPUESTO2_AÑO 2024'!G11</f>
        <v>1682060.3499942007</v>
      </c>
      <c r="H11" s="86">
        <f t="shared" ref="H11:H15" si="8">+SUM(F11:G11)</f>
        <v>1682060.3499942007</v>
      </c>
      <c r="I11" s="86">
        <f>+H11</f>
        <v>1682060.3499942007</v>
      </c>
    </row>
    <row r="12" spans="1:14">
      <c r="A12" s="23">
        <v>2</v>
      </c>
      <c r="B12" s="88">
        <v>44926</v>
      </c>
      <c r="C12" s="89">
        <f>+'SITUACION INICIAL - 2021 Y 2022'!C24</f>
        <v>4603301.2200000007</v>
      </c>
      <c r="D12" s="89">
        <f t="shared" si="7"/>
        <v>55239614.640000008</v>
      </c>
      <c r="E12" s="89">
        <f>+I11</f>
        <v>1682060.3499942007</v>
      </c>
      <c r="F12" s="89">
        <f>+E12*$C$2</f>
        <v>134564.82799953606</v>
      </c>
      <c r="G12" s="86">
        <f>+'SUPUESTO2_AÑO 2024'!G12</f>
        <v>1816625.1779937369</v>
      </c>
      <c r="H12" s="89">
        <f t="shared" si="8"/>
        <v>1951190.0059932731</v>
      </c>
      <c r="I12" s="89">
        <f>+H12+I11</f>
        <v>3633250.3559874739</v>
      </c>
    </row>
    <row r="13" spans="1:14">
      <c r="A13" s="116">
        <v>3</v>
      </c>
      <c r="B13" s="88">
        <v>45291</v>
      </c>
      <c r="C13" s="89">
        <f>+C12*D8+C12</f>
        <v>4856482.7871000003</v>
      </c>
      <c r="D13" s="89">
        <f t="shared" si="7"/>
        <v>58277793.445200004</v>
      </c>
      <c r="E13" s="89">
        <f>+I12</f>
        <v>3633250.3559874739</v>
      </c>
      <c r="F13" s="89">
        <f>+E13*$C$2</f>
        <v>290660.02847899793</v>
      </c>
      <c r="G13" s="86">
        <f>+'SUPUESTO2_AÑO 2024'!G13</f>
        <v>1961955.192233236</v>
      </c>
      <c r="H13" s="89">
        <f t="shared" si="8"/>
        <v>2252615.2207122338</v>
      </c>
      <c r="I13" s="25">
        <f>+H13+I12</f>
        <v>5885865.5766997077</v>
      </c>
    </row>
    <row r="14" spans="1:14">
      <c r="A14" s="1">
        <v>4</v>
      </c>
      <c r="B14" s="85">
        <v>45657</v>
      </c>
      <c r="C14" s="86">
        <f>+C13*E8+C13</f>
        <v>5123589.3403905006</v>
      </c>
      <c r="D14" s="86">
        <f t="shared" si="7"/>
        <v>61483072.084686011</v>
      </c>
      <c r="E14" s="86">
        <f>+I13</f>
        <v>5885865.5766997077</v>
      </c>
      <c r="F14" s="86">
        <f>+E14*$C$2</f>
        <v>470869.24613597663</v>
      </c>
      <c r="G14" s="86">
        <f>+'SUPUESTO2_AÑO 2024'!G14</f>
        <v>2118911.6076118951</v>
      </c>
      <c r="H14" s="86">
        <f t="shared" si="8"/>
        <v>2589780.8537478717</v>
      </c>
      <c r="I14" s="3">
        <f>+H14+I13</f>
        <v>8475646.4304475784</v>
      </c>
    </row>
    <row r="15" spans="1:14">
      <c r="A15" s="117">
        <v>5</v>
      </c>
      <c r="B15" s="118">
        <v>46022</v>
      </c>
      <c r="C15" s="119">
        <f>+C14*F8+C14</f>
        <v>5405386.7541119782</v>
      </c>
      <c r="D15" s="119">
        <f t="shared" si="7"/>
        <v>64864641.049343735</v>
      </c>
      <c r="E15" s="119">
        <f>+I14</f>
        <v>8475646.4304475784</v>
      </c>
      <c r="F15" s="119">
        <f>+E15*$C$2</f>
        <v>678051.71443580627</v>
      </c>
      <c r="G15" s="86">
        <f>+'SUPUESTO2_AÑO 2024'!G15</f>
        <v>2288424.5362208467</v>
      </c>
      <c r="H15" s="119">
        <f t="shared" si="8"/>
        <v>2966476.2506566532</v>
      </c>
      <c r="I15" s="119">
        <f>+H15+I14</f>
        <v>11442122.681104232</v>
      </c>
    </row>
    <row r="16" spans="1:14">
      <c r="A16" s="29"/>
      <c r="B16" s="30"/>
      <c r="C16" s="9"/>
      <c r="D16" s="9"/>
      <c r="E16" s="9"/>
      <c r="F16" s="9"/>
      <c r="G16" s="9"/>
      <c r="H16" s="9"/>
      <c r="I16" s="10"/>
    </row>
    <row r="17" spans="2:9" ht="36" customHeight="1">
      <c r="B17" s="180" t="s">
        <v>94</v>
      </c>
      <c r="C17" s="180"/>
      <c r="D17" s="180"/>
      <c r="F17" s="9"/>
    </row>
    <row r="18" spans="2:9">
      <c r="B18" s="174" t="s">
        <v>95</v>
      </c>
      <c r="C18" s="175"/>
      <c r="D18" s="115">
        <f>+D15*18%</f>
        <v>11675635.388881871</v>
      </c>
    </row>
    <row r="19" spans="2:9">
      <c r="B19" s="174" t="s">
        <v>96</v>
      </c>
      <c r="C19" s="175"/>
      <c r="D19" s="3">
        <f>+I15</f>
        <v>11442122.681104232</v>
      </c>
    </row>
    <row r="20" spans="2:9">
      <c r="B20" s="174" t="s">
        <v>97</v>
      </c>
      <c r="C20" s="175"/>
      <c r="D20" s="3">
        <f>+D18-D19</f>
        <v>233512.70777763985</v>
      </c>
    </row>
    <row r="21" spans="2:9">
      <c r="B21" s="35"/>
      <c r="C21" s="35"/>
      <c r="D21" s="9"/>
    </row>
    <row r="22" spans="2:9" s="107" customFormat="1" ht="29.25" customHeight="1">
      <c r="B22" s="178" t="s">
        <v>98</v>
      </c>
      <c r="C22" s="179"/>
      <c r="D22" s="120">
        <f>+I14</f>
        <v>8475646.4304475784</v>
      </c>
    </row>
    <row r="23" spans="2:9" ht="15.75" customHeight="1"/>
    <row r="24" spans="2:9" ht="15.75" customHeight="1"/>
    <row r="25" spans="2:9">
      <c r="B25" s="4" t="s">
        <v>99</v>
      </c>
    </row>
    <row r="27" spans="2:9">
      <c r="B27" s="122" t="s">
        <v>34</v>
      </c>
      <c r="C27" s="133" t="s">
        <v>35</v>
      </c>
      <c r="D27" s="133"/>
      <c r="E27" s="133"/>
      <c r="F27" s="122" t="s">
        <v>36</v>
      </c>
      <c r="G27" s="122" t="s">
        <v>37</v>
      </c>
    </row>
    <row r="28" spans="2:9" s="59" customFormat="1" ht="16.5" customHeight="1">
      <c r="B28" s="57">
        <v>5107</v>
      </c>
      <c r="C28" s="170" t="s">
        <v>38</v>
      </c>
      <c r="D28" s="170"/>
      <c r="E28" s="130"/>
      <c r="F28" s="61"/>
      <c r="G28" s="60"/>
    </row>
    <row r="29" spans="2:9" s="59" customFormat="1">
      <c r="B29" s="57">
        <v>510795</v>
      </c>
      <c r="C29" s="170" t="s">
        <v>39</v>
      </c>
      <c r="D29" s="170"/>
      <c r="E29" s="130"/>
      <c r="F29" s="3">
        <f>+G15</f>
        <v>2288424.5362208467</v>
      </c>
      <c r="G29" s="60"/>
    </row>
    <row r="30" spans="2:9">
      <c r="B30" s="57">
        <v>2512</v>
      </c>
      <c r="C30" s="170" t="s">
        <v>40</v>
      </c>
      <c r="D30" s="170"/>
      <c r="E30" s="130"/>
      <c r="G30" s="22"/>
    </row>
    <row r="31" spans="2:9">
      <c r="B31" s="57">
        <v>251290</v>
      </c>
      <c r="C31" s="170" t="s">
        <v>41</v>
      </c>
      <c r="D31" s="170"/>
      <c r="E31" s="130"/>
      <c r="F31" s="22"/>
      <c r="G31" s="22"/>
    </row>
    <row r="32" spans="2:9">
      <c r="B32" s="57" t="s">
        <v>42</v>
      </c>
      <c r="C32" s="170" t="s">
        <v>100</v>
      </c>
      <c r="D32" s="170"/>
      <c r="E32" s="130"/>
      <c r="F32" s="22"/>
      <c r="G32" s="3">
        <f>+F29</f>
        <v>2288424.5362208467</v>
      </c>
      <c r="I32" s="9"/>
    </row>
    <row r="33" spans="2:7">
      <c r="B33" s="127" t="s">
        <v>50</v>
      </c>
      <c r="C33" s="128"/>
      <c r="D33" s="128"/>
      <c r="E33" s="129"/>
      <c r="F33" s="123">
        <f>+SUM(F28:F32)</f>
        <v>2288424.5362208467</v>
      </c>
      <c r="G33" s="123">
        <f>+SUM(G28:G32)</f>
        <v>2288424.5362208467</v>
      </c>
    </row>
    <row r="36" spans="2:7">
      <c r="B36" s="4" t="s">
        <v>71</v>
      </c>
    </row>
    <row r="38" spans="2:7">
      <c r="B38" s="122" t="s">
        <v>34</v>
      </c>
      <c r="C38" s="133" t="s">
        <v>35</v>
      </c>
      <c r="D38" s="133"/>
      <c r="E38" s="133"/>
      <c r="F38" s="122" t="s">
        <v>36</v>
      </c>
      <c r="G38" s="122" t="s">
        <v>37</v>
      </c>
    </row>
    <row r="39" spans="2:7">
      <c r="B39" s="57">
        <v>5108</v>
      </c>
      <c r="C39" s="170" t="s">
        <v>46</v>
      </c>
      <c r="D39" s="170"/>
      <c r="E39" s="130"/>
      <c r="F39" s="22"/>
      <c r="G39" s="22"/>
    </row>
    <row r="40" spans="2:7">
      <c r="B40" s="57">
        <v>510812</v>
      </c>
      <c r="C40" s="170" t="s">
        <v>47</v>
      </c>
      <c r="D40" s="170"/>
      <c r="E40" s="130"/>
      <c r="F40" s="22"/>
      <c r="G40" s="22"/>
    </row>
    <row r="41" spans="2:7">
      <c r="B41" s="57" t="s">
        <v>48</v>
      </c>
      <c r="C41" s="170" t="s">
        <v>72</v>
      </c>
      <c r="D41" s="170"/>
      <c r="E41" s="130"/>
      <c r="F41" s="3">
        <f>+F15</f>
        <v>678051.71443580627</v>
      </c>
      <c r="G41" s="22"/>
    </row>
    <row r="42" spans="2:7">
      <c r="B42" s="57">
        <v>2512</v>
      </c>
      <c r="C42" s="170" t="s">
        <v>40</v>
      </c>
      <c r="D42" s="170"/>
      <c r="E42" s="130"/>
      <c r="G42" s="22"/>
    </row>
    <row r="43" spans="2:7">
      <c r="B43" s="57">
        <v>251290</v>
      </c>
      <c r="C43" s="170" t="s">
        <v>41</v>
      </c>
      <c r="D43" s="170"/>
      <c r="E43" s="130"/>
      <c r="F43" s="22"/>
      <c r="G43" s="22"/>
    </row>
    <row r="44" spans="2:7">
      <c r="B44" s="57" t="s">
        <v>42</v>
      </c>
      <c r="C44" s="170" t="s">
        <v>100</v>
      </c>
      <c r="D44" s="170"/>
      <c r="E44" s="130"/>
      <c r="F44" s="22"/>
      <c r="G44" s="3">
        <f>+F41</f>
        <v>678051.71443580627</v>
      </c>
    </row>
    <row r="45" spans="2:7">
      <c r="B45" s="127" t="s">
        <v>50</v>
      </c>
      <c r="C45" s="128"/>
      <c r="D45" s="128"/>
      <c r="E45" s="129"/>
      <c r="F45" s="123">
        <f>+SUM(F39:F44)</f>
        <v>678051.71443580627</v>
      </c>
      <c r="G45" s="123">
        <f>+SUM(G39:G44)</f>
        <v>678051.71443580627</v>
      </c>
    </row>
    <row r="46" spans="2:7">
      <c r="B46" s="35"/>
      <c r="C46" s="35"/>
      <c r="D46" s="35"/>
      <c r="E46" s="35"/>
      <c r="F46" s="10"/>
      <c r="G46" s="10"/>
    </row>
    <row r="47" spans="2:7">
      <c r="B47" s="35"/>
      <c r="C47" s="35"/>
      <c r="D47" s="35"/>
      <c r="E47" s="35"/>
      <c r="F47" s="10"/>
      <c r="G47" s="10"/>
    </row>
    <row r="48" spans="2:7">
      <c r="B48" s="4" t="s">
        <v>101</v>
      </c>
    </row>
    <row r="50" spans="2:7">
      <c r="B50" s="122" t="s">
        <v>34</v>
      </c>
      <c r="C50" s="133" t="s">
        <v>35</v>
      </c>
      <c r="D50" s="133"/>
      <c r="E50" s="133"/>
      <c r="F50" s="122" t="s">
        <v>36</v>
      </c>
      <c r="G50" s="122" t="s">
        <v>37</v>
      </c>
    </row>
    <row r="51" spans="2:7">
      <c r="B51" s="57">
        <v>5108</v>
      </c>
      <c r="C51" s="170" t="s">
        <v>46</v>
      </c>
      <c r="D51" s="170"/>
      <c r="E51" s="130"/>
      <c r="F51" s="22"/>
      <c r="G51" s="22"/>
    </row>
    <row r="52" spans="2:7">
      <c r="B52" s="57">
        <v>510812</v>
      </c>
      <c r="C52" s="170" t="s">
        <v>47</v>
      </c>
      <c r="D52" s="170"/>
      <c r="E52" s="130"/>
      <c r="F52" s="22"/>
      <c r="G52" s="22"/>
    </row>
    <row r="53" spans="2:7">
      <c r="B53" s="57" t="s">
        <v>48</v>
      </c>
      <c r="C53" s="170" t="s">
        <v>102</v>
      </c>
      <c r="D53" s="170"/>
      <c r="E53" s="130"/>
      <c r="F53" s="3">
        <f>+D20</f>
        <v>233512.70777763985</v>
      </c>
      <c r="G53" s="22"/>
    </row>
    <row r="54" spans="2:7">
      <c r="B54" s="57">
        <v>2512</v>
      </c>
      <c r="C54" s="170" t="s">
        <v>40</v>
      </c>
      <c r="D54" s="170"/>
      <c r="E54" s="130"/>
      <c r="G54" s="22"/>
    </row>
    <row r="55" spans="2:7">
      <c r="B55" s="57">
        <v>251290</v>
      </c>
      <c r="C55" s="170" t="s">
        <v>41</v>
      </c>
      <c r="D55" s="170"/>
      <c r="E55" s="130"/>
      <c r="F55" s="22"/>
      <c r="G55" s="22"/>
    </row>
    <row r="56" spans="2:7">
      <c r="B56" s="57" t="s">
        <v>42</v>
      </c>
      <c r="C56" s="170" t="s">
        <v>43</v>
      </c>
      <c r="D56" s="170"/>
      <c r="E56" s="130"/>
      <c r="F56" s="3">
        <f>+D22+G32+G44</f>
        <v>11442122.681104232</v>
      </c>
      <c r="G56" s="22"/>
    </row>
    <row r="57" spans="2:7">
      <c r="B57" s="57" t="s">
        <v>42</v>
      </c>
      <c r="C57" s="170" t="s">
        <v>103</v>
      </c>
      <c r="D57" s="170"/>
      <c r="E57" s="130"/>
      <c r="F57" s="22"/>
      <c r="G57" s="3">
        <f>+F56+F53</f>
        <v>11675635.388881871</v>
      </c>
    </row>
    <row r="58" spans="2:7">
      <c r="B58" s="127" t="s">
        <v>50</v>
      </c>
      <c r="C58" s="128"/>
      <c r="D58" s="128"/>
      <c r="E58" s="129"/>
      <c r="F58" s="123">
        <f>+SUM(F51:F57)</f>
        <v>11675635.388881871</v>
      </c>
      <c r="G58" s="123">
        <f>+SUM(G51:G57)</f>
        <v>11675635.388881871</v>
      </c>
    </row>
    <row r="59" spans="2:7">
      <c r="B59" s="35"/>
      <c r="C59" s="35"/>
      <c r="D59" s="35"/>
      <c r="E59" s="35"/>
      <c r="F59" s="10"/>
      <c r="G59" s="10"/>
    </row>
    <row r="61" spans="2:7" s="76" customFormat="1" ht="15.75">
      <c r="B61" s="75" t="s">
        <v>104</v>
      </c>
      <c r="G61" s="105">
        <f>+D22+G32+G44+F53</f>
        <v>11675635.388881871</v>
      </c>
    </row>
    <row r="62" spans="2:7">
      <c r="G62" s="9"/>
    </row>
  </sheetData>
  <mergeCells count="34">
    <mergeCell ref="B1:C1"/>
    <mergeCell ref="G1:H1"/>
    <mergeCell ref="M1:N1"/>
    <mergeCell ref="B5:B8"/>
    <mergeCell ref="G5:G8"/>
    <mergeCell ref="B17:D17"/>
    <mergeCell ref="B18:C18"/>
    <mergeCell ref="B19:C19"/>
    <mergeCell ref="B20:C20"/>
    <mergeCell ref="C39:E39"/>
    <mergeCell ref="C38:E38"/>
    <mergeCell ref="C32:E32"/>
    <mergeCell ref="B33:E33"/>
    <mergeCell ref="C27:E27"/>
    <mergeCell ref="C28:E28"/>
    <mergeCell ref="C29:E29"/>
    <mergeCell ref="C30:E30"/>
    <mergeCell ref="C31:E31"/>
    <mergeCell ref="C57:E57"/>
    <mergeCell ref="B58:E58"/>
    <mergeCell ref="B22:C22"/>
    <mergeCell ref="C51:E51"/>
    <mergeCell ref="C52:E52"/>
    <mergeCell ref="C53:E53"/>
    <mergeCell ref="C54:E54"/>
    <mergeCell ref="C55:E55"/>
    <mergeCell ref="C56:E56"/>
    <mergeCell ref="C44:E44"/>
    <mergeCell ref="B45:E45"/>
    <mergeCell ref="C40:E40"/>
    <mergeCell ref="C41:E41"/>
    <mergeCell ref="C42:E42"/>
    <mergeCell ref="C43:E43"/>
    <mergeCell ref="C50:E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5B34-CD9F-4979-BA67-E683CBCEBC0A}">
  <dimension ref="A1:N37"/>
  <sheetViews>
    <sheetView showGridLines="0" topLeftCell="A19" zoomScale="110" zoomScaleNormal="110" workbookViewId="0">
      <selection activeCell="C30" sqref="C30"/>
    </sheetView>
  </sheetViews>
  <sheetFormatPr defaultColWidth="11.42578125" defaultRowHeight="15"/>
  <cols>
    <col min="2" max="2" width="23.28515625" customWidth="1"/>
    <col min="3" max="6" width="19.28515625" customWidth="1"/>
    <col min="7" max="7" width="25.140625" customWidth="1"/>
    <col min="8" max="11" width="19.28515625" customWidth="1"/>
    <col min="12" max="12" width="3.28515625" customWidth="1"/>
    <col min="14" max="14" width="22.28515625" bestFit="1" customWidth="1"/>
  </cols>
  <sheetData>
    <row r="1" spans="1:14">
      <c r="B1" s="132" t="s">
        <v>93</v>
      </c>
      <c r="C1" s="132"/>
      <c r="G1" s="132" t="s">
        <v>74</v>
      </c>
      <c r="H1" s="132"/>
      <c r="M1" s="174" t="s">
        <v>54</v>
      </c>
      <c r="N1" s="175"/>
    </row>
    <row r="2" spans="1:14">
      <c r="B2" s="1" t="s">
        <v>17</v>
      </c>
      <c r="C2" s="6">
        <f>+H2</f>
        <v>0.08</v>
      </c>
      <c r="G2" s="1" t="s">
        <v>17</v>
      </c>
      <c r="H2" s="6">
        <f>+'SUPUESTO2_AÑO 2024'!C2</f>
        <v>0.08</v>
      </c>
      <c r="M2" s="79"/>
      <c r="N2" s="80" t="s">
        <v>55</v>
      </c>
    </row>
    <row r="3" spans="1:14">
      <c r="B3" s="7" t="s">
        <v>18</v>
      </c>
      <c r="C3" s="6">
        <f t="shared" ref="C3:C4" si="0">+H3</f>
        <v>0.98</v>
      </c>
      <c r="G3" s="7" t="s">
        <v>18</v>
      </c>
      <c r="H3" s="6">
        <f>+'SUPUESTO2_AÑO 2024'!C3</f>
        <v>0.98</v>
      </c>
      <c r="M3" s="81"/>
      <c r="N3" s="82" t="s">
        <v>56</v>
      </c>
    </row>
    <row r="4" spans="1:14">
      <c r="B4" s="1" t="s">
        <v>19</v>
      </c>
      <c r="C4" s="6">
        <f t="shared" si="0"/>
        <v>0.18</v>
      </c>
      <c r="G4" s="1" t="s">
        <v>19</v>
      </c>
      <c r="H4" s="6">
        <f>+'SUPUESTO2_AÑO 2024'!C4</f>
        <v>0.18</v>
      </c>
    </row>
    <row r="5" spans="1:14" ht="15" customHeight="1">
      <c r="B5" s="171" t="s">
        <v>20</v>
      </c>
      <c r="C5" s="5">
        <v>2022</v>
      </c>
      <c r="D5" s="5">
        <v>2023</v>
      </c>
      <c r="E5" s="5">
        <v>2024</v>
      </c>
      <c r="F5" s="5">
        <v>2025</v>
      </c>
      <c r="G5" s="171" t="s">
        <v>20</v>
      </c>
      <c r="H5" s="5">
        <v>2022</v>
      </c>
      <c r="I5" s="5">
        <v>2023</v>
      </c>
      <c r="J5" s="5">
        <v>2024</v>
      </c>
      <c r="K5" s="5">
        <v>2025</v>
      </c>
      <c r="L5" s="4"/>
    </row>
    <row r="6" spans="1:14" ht="15" customHeight="1">
      <c r="B6" s="172"/>
      <c r="C6" s="93">
        <f>+H6</f>
        <v>4.4999999999999998E-2</v>
      </c>
      <c r="D6" s="93">
        <f t="shared" ref="D6:F7" si="1">+I6</f>
        <v>0.04</v>
      </c>
      <c r="E6" s="93">
        <f t="shared" si="1"/>
        <v>0.04</v>
      </c>
      <c r="F6" s="6">
        <f t="shared" si="1"/>
        <v>0.04</v>
      </c>
      <c r="G6" s="172"/>
      <c r="H6" s="6">
        <f>+'SUPUESTO2_AÑO 2024'!C6</f>
        <v>4.4999999999999998E-2</v>
      </c>
      <c r="I6" s="6">
        <f>+'SUPUESTO2_AÑO 2024'!D6</f>
        <v>0.04</v>
      </c>
      <c r="J6" s="6">
        <f>+'SUPUESTO2_AÑO 2024'!E6</f>
        <v>0.04</v>
      </c>
      <c r="K6" s="6">
        <f>+'SUPUESTO2_AÑO 2024'!F6</f>
        <v>0.04</v>
      </c>
      <c r="L6" s="4"/>
    </row>
    <row r="7" spans="1:14" ht="15" customHeight="1">
      <c r="B7" s="172"/>
      <c r="C7" s="93">
        <f>+H7</f>
        <v>1.4999999999999999E-2</v>
      </c>
      <c r="D7" s="93">
        <f t="shared" si="1"/>
        <v>1.4999999999999999E-2</v>
      </c>
      <c r="E7" s="93">
        <f t="shared" si="1"/>
        <v>1.4999999999999999E-2</v>
      </c>
      <c r="F7" s="6">
        <f t="shared" si="1"/>
        <v>1.4999999999999999E-2</v>
      </c>
      <c r="G7" s="172"/>
      <c r="H7" s="6">
        <f>+'SUPUESTO2_AÑO 2024'!C7</f>
        <v>1.4999999999999999E-2</v>
      </c>
      <c r="I7" s="6">
        <f>+'SUPUESTO2_AÑO 2024'!D7</f>
        <v>1.4999999999999999E-2</v>
      </c>
      <c r="J7" s="6">
        <f>+'SUPUESTO2_AÑO 2024'!E7</f>
        <v>1.4999999999999999E-2</v>
      </c>
      <c r="K7" s="6">
        <f>+'SUPUESTO2_AÑO 2024'!F7</f>
        <v>1.4999999999999999E-2</v>
      </c>
      <c r="L7" s="4"/>
    </row>
    <row r="8" spans="1:14">
      <c r="B8" s="173"/>
      <c r="C8" s="94">
        <f>+SUM(C6:C7)</f>
        <v>0.06</v>
      </c>
      <c r="D8" s="94">
        <f t="shared" ref="D8:F8" si="2">+SUM(D6:D7)</f>
        <v>5.5E-2</v>
      </c>
      <c r="E8" s="94">
        <f t="shared" si="2"/>
        <v>5.5E-2</v>
      </c>
      <c r="F8" s="77">
        <f t="shared" si="2"/>
        <v>5.5E-2</v>
      </c>
      <c r="G8" s="173"/>
      <c r="H8" s="77">
        <f t="shared" ref="H8:K8" si="3">+SUM(H6:H7)</f>
        <v>0.06</v>
      </c>
      <c r="I8" s="77">
        <f t="shared" si="3"/>
        <v>5.5E-2</v>
      </c>
      <c r="J8" s="77">
        <f t="shared" si="3"/>
        <v>5.5E-2</v>
      </c>
      <c r="K8" s="77">
        <f t="shared" si="3"/>
        <v>5.5E-2</v>
      </c>
      <c r="L8" s="62"/>
    </row>
    <row r="10" spans="1:14" ht="51">
      <c r="A10" s="8" t="s">
        <v>21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 t="s">
        <v>27</v>
      </c>
      <c r="H10" s="8" t="s">
        <v>28</v>
      </c>
      <c r="I10" s="8" t="s">
        <v>29</v>
      </c>
    </row>
    <row r="11" spans="1:14">
      <c r="A11" s="1">
        <v>1</v>
      </c>
      <c r="B11" s="85">
        <v>44561</v>
      </c>
      <c r="C11" s="86">
        <f>+'SITUACION INICIAL - 2021 Y 2022'!C23</f>
        <v>4342737</v>
      </c>
      <c r="D11" s="86">
        <f t="shared" ref="D11:D15" si="4">+C11*12</f>
        <v>52112844</v>
      </c>
      <c r="E11" s="86">
        <v>0</v>
      </c>
      <c r="F11" s="86">
        <v>0</v>
      </c>
      <c r="G11" s="86">
        <f>+'SUPUESTO2_AÑO 2024'!G11</f>
        <v>1682060.3499942007</v>
      </c>
      <c r="H11" s="86">
        <f t="shared" ref="H11:H15" si="5">+SUM(F11:G11)</f>
        <v>1682060.3499942007</v>
      </c>
      <c r="I11" s="86">
        <f>+H11</f>
        <v>1682060.3499942007</v>
      </c>
    </row>
    <row r="12" spans="1:14">
      <c r="A12" s="23">
        <v>2</v>
      </c>
      <c r="B12" s="88">
        <v>44926</v>
      </c>
      <c r="C12" s="89">
        <f>+'SITUACION INICIAL - 2021 Y 2022'!C24</f>
        <v>4603301.2200000007</v>
      </c>
      <c r="D12" s="89">
        <f t="shared" si="4"/>
        <v>55239614.640000008</v>
      </c>
      <c r="E12" s="89">
        <f>+I11</f>
        <v>1682060.3499942007</v>
      </c>
      <c r="F12" s="89">
        <f>+E12*$C$2</f>
        <v>134564.82799953606</v>
      </c>
      <c r="G12" s="86">
        <f>+'SUPUESTO2_AÑO 2024'!G12</f>
        <v>1816625.1779937369</v>
      </c>
      <c r="H12" s="89">
        <f t="shared" si="5"/>
        <v>1951190.0059932731</v>
      </c>
      <c r="I12" s="89">
        <f>+H12+I11</f>
        <v>3633250.3559874739</v>
      </c>
    </row>
    <row r="13" spans="1:14">
      <c r="A13" s="116">
        <v>3</v>
      </c>
      <c r="B13" s="88">
        <v>45291</v>
      </c>
      <c r="C13" s="89">
        <f>+C12*D8+C12</f>
        <v>4856482.7871000003</v>
      </c>
      <c r="D13" s="89">
        <f t="shared" si="4"/>
        <v>58277793.445200004</v>
      </c>
      <c r="E13" s="89">
        <f>+I12</f>
        <v>3633250.3559874739</v>
      </c>
      <c r="F13" s="89">
        <f>+E13*$C$2</f>
        <v>290660.02847899793</v>
      </c>
      <c r="G13" s="86">
        <f>+'SUPUESTO2_AÑO 2024'!G13</f>
        <v>1961955.192233236</v>
      </c>
      <c r="H13" s="89">
        <f t="shared" si="5"/>
        <v>2252615.2207122338</v>
      </c>
      <c r="I13" s="25">
        <f>+H13+I12</f>
        <v>5885865.5766997077</v>
      </c>
    </row>
    <row r="14" spans="1:14">
      <c r="A14" s="1">
        <v>4</v>
      </c>
      <c r="B14" s="85">
        <v>45657</v>
      </c>
      <c r="C14" s="86">
        <f>+C13*E8+C13</f>
        <v>5123589.3403905006</v>
      </c>
      <c r="D14" s="86">
        <f t="shared" si="4"/>
        <v>61483072.084686011</v>
      </c>
      <c r="E14" s="86">
        <f>+I13</f>
        <v>5885865.5766997077</v>
      </c>
      <c r="F14" s="86">
        <f>+E14*$C$2</f>
        <v>470869.24613597663</v>
      </c>
      <c r="G14" s="86">
        <f>+'SUPUESTO2_AÑO 2024'!G14</f>
        <v>2118911.6076118951</v>
      </c>
      <c r="H14" s="86">
        <f t="shared" si="5"/>
        <v>2589780.8537478717</v>
      </c>
      <c r="I14" s="3">
        <f>+H14+I13</f>
        <v>8475646.4304475784</v>
      </c>
    </row>
    <row r="15" spans="1:14">
      <c r="A15" s="117">
        <v>5</v>
      </c>
      <c r="B15" s="118">
        <v>46022</v>
      </c>
      <c r="C15" s="119">
        <f>+C14*F8+C14</f>
        <v>5405386.7541119782</v>
      </c>
      <c r="D15" s="119">
        <f t="shared" si="4"/>
        <v>64864641.049343735</v>
      </c>
      <c r="E15" s="119">
        <f>+I14</f>
        <v>8475646.4304475784</v>
      </c>
      <c r="F15" s="119">
        <f>+E15*$C$2</f>
        <v>678051.71443580627</v>
      </c>
      <c r="G15" s="86">
        <f>+'SUPUESTO2_AÑO 2024'!G15</f>
        <v>2288424.5362208467</v>
      </c>
      <c r="H15" s="119">
        <f t="shared" si="5"/>
        <v>2966476.2506566532</v>
      </c>
      <c r="I15" s="119">
        <f>+H15+I14</f>
        <v>11442122.681104232</v>
      </c>
    </row>
    <row r="16" spans="1:14">
      <c r="A16" s="29"/>
      <c r="B16" s="30"/>
      <c r="C16" s="9"/>
      <c r="D16" s="9"/>
      <c r="E16" s="9"/>
      <c r="F16" s="9"/>
      <c r="G16" s="9"/>
      <c r="H16" s="9"/>
      <c r="I16" s="10"/>
    </row>
    <row r="17" spans="2:7" ht="36" customHeight="1">
      <c r="B17" s="180" t="s">
        <v>105</v>
      </c>
      <c r="C17" s="180"/>
      <c r="D17" s="180"/>
      <c r="F17" s="9"/>
    </row>
    <row r="18" spans="2:7">
      <c r="B18" s="174" t="s">
        <v>95</v>
      </c>
      <c r="C18" s="175"/>
      <c r="D18" s="115">
        <f>+D15*18%*0</f>
        <v>0</v>
      </c>
    </row>
    <row r="19" spans="2:7">
      <c r="B19" s="174" t="s">
        <v>96</v>
      </c>
      <c r="C19" s="175"/>
      <c r="D19" s="3">
        <f>+I15</f>
        <v>11442122.681104232</v>
      </c>
    </row>
    <row r="20" spans="2:7">
      <c r="B20" s="174" t="s">
        <v>97</v>
      </c>
      <c r="C20" s="175"/>
      <c r="D20" s="3">
        <f>+D18-D19</f>
        <v>-11442122.681104232</v>
      </c>
    </row>
    <row r="21" spans="2:7">
      <c r="B21" s="35"/>
      <c r="C21" s="35"/>
      <c r="D21" s="9"/>
    </row>
    <row r="22" spans="2:7" s="107" customFormat="1" ht="29.25" customHeight="1">
      <c r="B22" s="178" t="s">
        <v>98</v>
      </c>
      <c r="C22" s="179"/>
      <c r="D22" s="120">
        <f>+I14</f>
        <v>8475646.4304475784</v>
      </c>
    </row>
    <row r="25" spans="2:7">
      <c r="B25" s="4" t="s">
        <v>106</v>
      </c>
    </row>
    <row r="27" spans="2:7">
      <c r="B27" s="122" t="s">
        <v>34</v>
      </c>
      <c r="C27" s="133" t="s">
        <v>35</v>
      </c>
      <c r="D27" s="133"/>
      <c r="E27" s="133"/>
      <c r="F27" s="122" t="s">
        <v>36</v>
      </c>
      <c r="G27" s="122" t="s">
        <v>37</v>
      </c>
    </row>
    <row r="28" spans="2:7">
      <c r="B28" s="57">
        <v>2512</v>
      </c>
      <c r="C28" s="170" t="s">
        <v>107</v>
      </c>
      <c r="D28" s="170"/>
      <c r="E28" s="130"/>
      <c r="F28" s="22"/>
      <c r="G28" s="22"/>
    </row>
    <row r="29" spans="2:7">
      <c r="B29" s="57">
        <v>251290</v>
      </c>
      <c r="C29" s="71" t="s">
        <v>108</v>
      </c>
      <c r="D29" s="71"/>
      <c r="E29" s="70"/>
      <c r="F29" s="22"/>
      <c r="G29" s="22"/>
    </row>
    <row r="30" spans="2:7">
      <c r="B30" s="57" t="s">
        <v>42</v>
      </c>
      <c r="C30" s="71" t="s">
        <v>43</v>
      </c>
      <c r="D30" s="71"/>
      <c r="E30" s="70"/>
      <c r="F30" s="3">
        <f>+D22</f>
        <v>8475646.4304475784</v>
      </c>
      <c r="G30" s="22"/>
    </row>
    <row r="31" spans="2:7">
      <c r="B31" s="57">
        <v>4808</v>
      </c>
      <c r="C31" s="170" t="s">
        <v>68</v>
      </c>
      <c r="D31" s="170"/>
      <c r="E31" s="130"/>
      <c r="G31" s="22"/>
    </row>
    <row r="32" spans="2:7">
      <c r="B32" s="57">
        <v>480837</v>
      </c>
      <c r="C32" s="170" t="s">
        <v>47</v>
      </c>
      <c r="D32" s="170"/>
      <c r="E32" s="130"/>
      <c r="F32" s="22"/>
      <c r="G32" s="22"/>
    </row>
    <row r="33" spans="2:7">
      <c r="B33" s="57" t="s">
        <v>69</v>
      </c>
      <c r="C33" s="170" t="s">
        <v>102</v>
      </c>
      <c r="D33" s="170"/>
      <c r="E33" s="130"/>
      <c r="F33" s="3"/>
      <c r="G33" s="3">
        <f>+F30</f>
        <v>8475646.4304475784</v>
      </c>
    </row>
    <row r="34" spans="2:7">
      <c r="B34" s="127" t="s">
        <v>50</v>
      </c>
      <c r="C34" s="128"/>
      <c r="D34" s="128"/>
      <c r="E34" s="129"/>
      <c r="F34" s="123">
        <f>+SUM(F28:F33)</f>
        <v>8475646.4304475784</v>
      </c>
      <c r="G34" s="123">
        <f>+SUM(G28:G33)</f>
        <v>8475646.4304475784</v>
      </c>
    </row>
    <row r="35" spans="2:7">
      <c r="B35" s="35"/>
      <c r="C35" s="35"/>
      <c r="D35" s="35"/>
      <c r="E35" s="35"/>
      <c r="F35" s="10"/>
      <c r="G35" s="10"/>
    </row>
    <row r="37" spans="2:7" s="76" customFormat="1" ht="15.75">
      <c r="B37" s="75" t="s">
        <v>104</v>
      </c>
      <c r="G37" s="105">
        <f>+D22-F30</f>
        <v>0</v>
      </c>
    </row>
  </sheetData>
  <mergeCells count="16">
    <mergeCell ref="G1:H1"/>
    <mergeCell ref="M1:N1"/>
    <mergeCell ref="B5:B8"/>
    <mergeCell ref="G5:G8"/>
    <mergeCell ref="B17:D17"/>
    <mergeCell ref="B18:C18"/>
    <mergeCell ref="B19:C19"/>
    <mergeCell ref="B20:C20"/>
    <mergeCell ref="B22:C22"/>
    <mergeCell ref="B1:C1"/>
    <mergeCell ref="C31:E31"/>
    <mergeCell ref="C32:E32"/>
    <mergeCell ref="C33:E33"/>
    <mergeCell ref="B34:E34"/>
    <mergeCell ref="C27:E27"/>
    <mergeCell ref="C28:E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T29"/>
  <sheetViews>
    <sheetView showGridLines="0" workbookViewId="0">
      <selection activeCell="N31" sqref="N31"/>
    </sheetView>
  </sheetViews>
  <sheetFormatPr defaultColWidth="11.42578125" defaultRowHeight="15"/>
  <cols>
    <col min="1" max="12" width="2.7109375" style="51" customWidth="1"/>
    <col min="13" max="13" width="2.85546875" style="52" customWidth="1"/>
    <col min="14" max="14" width="10.42578125" style="51" customWidth="1"/>
    <col min="15" max="15" width="4.7109375" style="51" customWidth="1"/>
    <col min="16" max="16" width="2.7109375" style="51" customWidth="1"/>
    <col min="17" max="17" width="2.85546875" style="52" customWidth="1"/>
    <col min="18" max="18" width="10.85546875" style="51" customWidth="1"/>
    <col min="19" max="20" width="2.7109375" style="51" customWidth="1"/>
  </cols>
  <sheetData>
    <row r="1" spans="1:20">
      <c r="A1" s="181" t="s">
        <v>109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53"/>
    </row>
    <row r="2" spans="1:20">
      <c r="A2" s="181" t="s">
        <v>110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53"/>
    </row>
    <row r="3" spans="1:20">
      <c r="A3" s="181" t="s">
        <v>111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53"/>
    </row>
    <row r="4" spans="1:20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182"/>
      <c r="N4" s="182"/>
      <c r="O4" s="182"/>
      <c r="P4" s="36"/>
      <c r="Q4" s="182" t="s">
        <v>112</v>
      </c>
      <c r="R4" s="182"/>
      <c r="S4" s="182"/>
      <c r="T4" s="53"/>
    </row>
    <row r="5" spans="1:20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6"/>
      <c r="N5" s="37"/>
      <c r="O5" s="37"/>
      <c r="P5" s="37"/>
      <c r="Q5" s="36"/>
      <c r="R5" s="37"/>
      <c r="S5" s="38"/>
      <c r="T5" s="54"/>
    </row>
    <row r="6" spans="1:20">
      <c r="A6" s="39" t="s">
        <v>110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6" t="s">
        <v>113</v>
      </c>
      <c r="O6" s="36"/>
      <c r="P6" s="37"/>
      <c r="Q6" s="37"/>
      <c r="R6" s="36" t="s">
        <v>113</v>
      </c>
      <c r="S6" s="37"/>
      <c r="T6" s="54"/>
    </row>
    <row r="7" spans="1:20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40">
        <v>2023</v>
      </c>
      <c r="O7" s="40"/>
      <c r="P7" s="38"/>
      <c r="Q7" s="38"/>
      <c r="R7" s="40">
        <v>2023</v>
      </c>
      <c r="S7" s="37"/>
    </row>
    <row r="8" spans="1:20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6"/>
      <c r="O8" s="36"/>
      <c r="P8" s="37"/>
      <c r="Q8" s="37"/>
      <c r="R8" s="36"/>
      <c r="S8" s="38"/>
    </row>
    <row r="9" spans="1:20">
      <c r="A9" s="39" t="s">
        <v>114</v>
      </c>
      <c r="B9" s="37"/>
      <c r="C9" s="37"/>
      <c r="D9" s="41"/>
      <c r="E9" s="37"/>
      <c r="F9" s="37"/>
      <c r="G9" s="37"/>
      <c r="H9" s="37"/>
      <c r="I9" s="37"/>
      <c r="J9" s="37"/>
      <c r="K9" s="37"/>
      <c r="L9" s="37"/>
      <c r="M9" s="36"/>
      <c r="N9" s="37"/>
      <c r="O9" s="37"/>
      <c r="P9" s="37"/>
      <c r="Q9" s="36"/>
      <c r="R9" s="37"/>
      <c r="S9" s="36"/>
    </row>
    <row r="10" spans="1:20">
      <c r="A10" s="39"/>
      <c r="B10" s="37"/>
      <c r="C10" s="37"/>
      <c r="D10" s="41"/>
      <c r="E10" s="37"/>
      <c r="F10" s="37"/>
      <c r="G10" s="37"/>
      <c r="H10" s="37"/>
      <c r="I10" s="37"/>
      <c r="J10" s="37"/>
      <c r="K10" s="37"/>
      <c r="L10" s="37"/>
      <c r="M10" s="36"/>
      <c r="N10" s="37"/>
      <c r="O10" s="37"/>
      <c r="P10" s="37"/>
      <c r="Q10" s="36"/>
      <c r="R10" s="37"/>
      <c r="S10" s="36"/>
    </row>
    <row r="11" spans="1:20">
      <c r="A11" s="37" t="s">
        <v>115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6" t="s">
        <v>116</v>
      </c>
      <c r="N11" s="42">
        <v>200000</v>
      </c>
      <c r="O11" s="42"/>
      <c r="P11" s="37"/>
      <c r="Q11" s="36" t="s">
        <v>116</v>
      </c>
      <c r="R11" s="42">
        <v>200000</v>
      </c>
      <c r="S11" s="36"/>
    </row>
    <row r="12" spans="1:20">
      <c r="A12" s="37" t="s">
        <v>117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6"/>
      <c r="N12" s="42">
        <f>300000</f>
        <v>300000</v>
      </c>
      <c r="O12" s="42"/>
      <c r="P12" s="37"/>
      <c r="Q12" s="36"/>
      <c r="R12" s="42">
        <f>300000-12201*0.2</f>
        <v>297559.8</v>
      </c>
      <c r="S12" s="36"/>
    </row>
    <row r="13" spans="1:20" ht="15.75" thickBot="1">
      <c r="A13" s="39" t="s">
        <v>118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6" t="s">
        <v>116</v>
      </c>
      <c r="N13" s="43">
        <f>SUM(N11:N12)</f>
        <v>500000</v>
      </c>
      <c r="O13" s="44"/>
      <c r="P13" s="37"/>
      <c r="Q13" s="36" t="s">
        <v>116</v>
      </c>
      <c r="R13" s="43">
        <f>SUM(R11:R12)</f>
        <v>497559.8</v>
      </c>
      <c r="S13" s="36"/>
    </row>
    <row r="14" spans="1:20" ht="15.75" thickTop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6"/>
      <c r="N14" s="44"/>
      <c r="O14" s="44"/>
      <c r="P14" s="37"/>
      <c r="Q14" s="36"/>
      <c r="R14" s="44"/>
      <c r="S14" s="36"/>
    </row>
    <row r="15" spans="1:20">
      <c r="A15" s="39" t="s">
        <v>119</v>
      </c>
      <c r="B15" s="37"/>
      <c r="C15" s="37"/>
      <c r="D15" s="41"/>
      <c r="E15" s="37"/>
      <c r="F15" s="37"/>
      <c r="G15" s="37"/>
      <c r="H15" s="37"/>
      <c r="I15" s="37"/>
      <c r="J15" s="37"/>
      <c r="K15" s="37"/>
      <c r="L15" s="36"/>
      <c r="M15" s="45"/>
      <c r="N15" s="45"/>
      <c r="O15" s="45"/>
      <c r="P15" s="36"/>
      <c r="Q15" s="45"/>
      <c r="R15" s="45"/>
      <c r="S15" s="44"/>
    </row>
    <row r="16" spans="1:20">
      <c r="A16" s="37" t="s">
        <v>120</v>
      </c>
      <c r="B16" s="37"/>
      <c r="C16" s="37"/>
      <c r="D16" s="46"/>
      <c r="E16" s="37"/>
      <c r="F16" s="37"/>
      <c r="G16" s="37"/>
      <c r="H16" s="37"/>
      <c r="I16" s="37"/>
      <c r="J16" s="37"/>
      <c r="K16" s="37"/>
      <c r="L16" s="37"/>
      <c r="M16" s="36"/>
      <c r="N16" s="44">
        <v>20000</v>
      </c>
      <c r="O16" s="44"/>
      <c r="P16" s="37"/>
      <c r="Q16" s="36"/>
      <c r="R16" s="44">
        <v>20000</v>
      </c>
      <c r="S16" s="36"/>
      <c r="T16" s="55"/>
    </row>
    <row r="17" spans="1:20">
      <c r="A17" s="37" t="s">
        <v>121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6"/>
      <c r="N17" s="47">
        <f>12201/5</f>
        <v>2440.1999999999998</v>
      </c>
      <c r="O17" s="44"/>
      <c r="P17" s="37"/>
      <c r="Q17" s="36"/>
      <c r="R17" s="47">
        <f>+N17</f>
        <v>2440.1999999999998</v>
      </c>
      <c r="S17" s="36"/>
    </row>
    <row r="18" spans="1:20">
      <c r="A18" s="39" t="s">
        <v>122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6"/>
      <c r="N18" s="48">
        <f>SUM(N16:N17)</f>
        <v>22440.2</v>
      </c>
      <c r="O18" s="44"/>
      <c r="P18" s="37"/>
      <c r="Q18" s="36"/>
      <c r="R18" s="48">
        <f>SUM(R16:R17)</f>
        <v>22440.2</v>
      </c>
      <c r="S18" s="36"/>
    </row>
    <row r="19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6"/>
      <c r="N19" s="44"/>
      <c r="O19" s="44"/>
      <c r="P19" s="37"/>
      <c r="Q19" s="36"/>
      <c r="R19" s="44"/>
      <c r="S19" s="36"/>
    </row>
    <row r="20" spans="1:20">
      <c r="A20" s="37" t="s">
        <v>123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6"/>
      <c r="N20" s="44">
        <v>10000</v>
      </c>
      <c r="O20" s="44"/>
      <c r="P20" s="37"/>
      <c r="Q20" s="36"/>
      <c r="R20" s="44">
        <v>10000</v>
      </c>
      <c r="S20" s="36"/>
    </row>
    <row r="21" spans="1:20">
      <c r="A21" s="37" t="s">
        <v>121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6"/>
      <c r="N21" s="47">
        <f>+N17*4</f>
        <v>9760.7999999999993</v>
      </c>
      <c r="O21" s="44"/>
      <c r="P21" s="37"/>
      <c r="Q21" s="36"/>
      <c r="R21" s="47">
        <f>+R17*4-500000+R13</f>
        <v>7320.5999999999767</v>
      </c>
      <c r="S21" s="36"/>
    </row>
    <row r="22" spans="1:20">
      <c r="A22" s="39" t="s">
        <v>124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6"/>
      <c r="N22" s="48">
        <f>SUM(N20:N21)</f>
        <v>19760.8</v>
      </c>
      <c r="O22" s="44"/>
      <c r="P22" s="37"/>
      <c r="Q22" s="36"/>
      <c r="R22" s="48">
        <f>SUM(R20:R21)</f>
        <v>17320.599999999977</v>
      </c>
      <c r="S22" s="36"/>
    </row>
    <row r="23" spans="1:20" ht="15.75" thickBot="1">
      <c r="A23" s="39" t="s">
        <v>125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6" t="s">
        <v>116</v>
      </c>
      <c r="N23" s="43">
        <f>+N22+N18</f>
        <v>42201</v>
      </c>
      <c r="O23" s="44"/>
      <c r="P23" s="37"/>
      <c r="Q23" s="36" t="s">
        <v>116</v>
      </c>
      <c r="R23" s="43">
        <f>+R22+R18</f>
        <v>39760.799999999974</v>
      </c>
      <c r="S23" s="36"/>
    </row>
    <row r="24" spans="1:20" ht="15.75" thickTop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6"/>
      <c r="N24" s="44"/>
      <c r="O24" s="44"/>
      <c r="P24" s="37"/>
      <c r="Q24" s="36"/>
      <c r="R24" s="44"/>
      <c r="S24" s="36"/>
    </row>
    <row r="25" spans="1:20">
      <c r="A25" s="39" t="s">
        <v>126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6"/>
      <c r="N25" s="44"/>
      <c r="O25" s="44"/>
      <c r="P25" s="37"/>
      <c r="Q25" s="36"/>
      <c r="R25" s="44"/>
      <c r="S25" s="36"/>
    </row>
    <row r="26" spans="1:20">
      <c r="A26" s="37" t="s">
        <v>127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6"/>
      <c r="N26" s="44">
        <f>+N13-N23</f>
        <v>457799</v>
      </c>
      <c r="O26" s="44"/>
      <c r="P26" s="37"/>
      <c r="Q26" s="36"/>
      <c r="R26" s="44">
        <f>+N26</f>
        <v>457799</v>
      </c>
      <c r="S26" s="36"/>
    </row>
    <row r="27" spans="1:20">
      <c r="A27" s="39" t="s">
        <v>128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6"/>
      <c r="N27" s="49">
        <f>+N26</f>
        <v>457799</v>
      </c>
      <c r="O27" s="44"/>
      <c r="P27" s="37"/>
      <c r="Q27" s="36"/>
      <c r="R27" s="49">
        <f>+R26</f>
        <v>457799</v>
      </c>
      <c r="S27" s="36"/>
    </row>
    <row r="28" spans="1:20" ht="15.75" thickBot="1">
      <c r="A28" s="39" t="s">
        <v>129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6" t="s">
        <v>116</v>
      </c>
      <c r="N28" s="43">
        <f>+N27+N23</f>
        <v>500000</v>
      </c>
      <c r="O28" s="50"/>
      <c r="P28" s="37"/>
      <c r="Q28" s="36" t="s">
        <v>116</v>
      </c>
      <c r="R28" s="43">
        <f>+R27+R23</f>
        <v>497559.8</v>
      </c>
      <c r="S28" s="36"/>
      <c r="T28" s="56"/>
    </row>
    <row r="29" spans="1:20" ht="15.75" thickTop="1">
      <c r="S29" s="52"/>
      <c r="T29" s="56"/>
    </row>
  </sheetData>
  <mergeCells count="5">
    <mergeCell ref="A1:S1"/>
    <mergeCell ref="A2:S2"/>
    <mergeCell ref="A3:S3"/>
    <mergeCell ref="M4:O4"/>
    <mergeCell ref="Q4:S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4021E60C755545B9C5265942E46858" ma:contentTypeVersion="12" ma:contentTypeDescription="Crear nuevo documento." ma:contentTypeScope="" ma:versionID="750d4e56a19da2a5de9981b306e2b9b0">
  <xsd:schema xmlns:xsd="http://www.w3.org/2001/XMLSchema" xmlns:xs="http://www.w3.org/2001/XMLSchema" xmlns:p="http://schemas.microsoft.com/office/2006/metadata/properties" xmlns:ns3="2cc28b4d-d432-4e2b-97b4-bca45995176d" xmlns:ns4="dba128cf-fae5-4672-9c53-0dcbc6853d15" targetNamespace="http://schemas.microsoft.com/office/2006/metadata/properties" ma:root="true" ma:fieldsID="037e6db832edad34c8d9c06af008ec6f" ns3:_="" ns4:_="">
    <xsd:import namespace="2cc28b4d-d432-4e2b-97b4-bca45995176d"/>
    <xsd:import namespace="dba128cf-fae5-4672-9c53-0dcbc6853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28b4d-d432-4e2b-97b4-bca459951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128cf-fae5-4672-9c53-0dcbc6853d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EA30D3-98D1-40E1-BD09-6FAAE297CD8E}"/>
</file>

<file path=customXml/itemProps2.xml><?xml version="1.0" encoding="utf-8"?>
<ds:datastoreItem xmlns:ds="http://schemas.openxmlformats.org/officeDocument/2006/customXml" ds:itemID="{95E82580-A0EE-47F8-898F-FE46072D5503}"/>
</file>

<file path=customXml/itemProps3.xml><?xml version="1.0" encoding="utf-8"?>
<ds:datastoreItem xmlns:ds="http://schemas.openxmlformats.org/officeDocument/2006/customXml" ds:itemID="{12D9C3F9-1BF2-4847-89A3-7939500DD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Jaleon</dc:creator>
  <cp:keywords/>
  <dc:description/>
  <cp:lastModifiedBy/>
  <cp:revision/>
  <dcterms:created xsi:type="dcterms:W3CDTF">2020-06-07T22:26:52Z</dcterms:created>
  <dcterms:modified xsi:type="dcterms:W3CDTF">2026-06-18T19:59:31Z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0x010100AB4021E60C755545B9C5265942E46858</vt:lpwstr>
  </property>
</Properties>
</file>