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2.xml" ContentType="application/vnd.openxmlformats-officedocument.drawingml.chartshapes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omments1.xml" ContentType="application/vnd.openxmlformats-officedocument.spreadsheetml.comments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4.xml" ContentType="application/vnd.openxmlformats-officedocument.drawingml.chartshapes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shdgov-my.sharepoint.com/personal/jrocha_shd_gov_co/Documents/Perfil de la deuda/Publicaciones/Español/2025/Enero/"/>
    </mc:Choice>
  </mc:AlternateContent>
  <xr:revisionPtr revIDLastSave="3" documentId="8_{35968554-9850-4D5C-B57A-98419585BCB2}" xr6:coauthVersionLast="47" xr6:coauthVersionMax="47" xr10:uidLastSave="{0D411CE4-33C4-455F-AEB3-7F9C2C1E455D}"/>
  <bookViews>
    <workbookView xWindow="-120" yWindow="-120" windowWidth="29040" windowHeight="15720" xr2:uid="{06BE334C-2666-4061-A69C-6AA457EB122E}"/>
  </bookViews>
  <sheets>
    <sheet name="IDC" sheetId="3" r:id="rId1"/>
    <sheet name="IDD" sheetId="2" r:id="rId2"/>
    <sheet name="CARACT. PORT. PASIVOS Webpage" sheetId="1" r:id="rId3"/>
  </sheets>
  <definedNames>
    <definedName name="__xlchart.v1.0">#REF!</definedName>
    <definedName name="__xlchart.v1.1">#REF!</definedName>
    <definedName name="__xlchart.v1.2">#REF!</definedName>
    <definedName name="__xlchart.v1.3">#REF!</definedName>
    <definedName name="_xlnm._FilterDatabase" localSheetId="2" hidden="1">'CARACT. PORT. PASIVOS Webpage'!$D$3:$D$106</definedName>
    <definedName name="_xlnm.Print_Area" localSheetId="2">'CARACT. PORT. PASIVOS Webpage'!$B$1:$M$96</definedName>
    <definedName name="_xlnm.Print_Area" localSheetId="0">IDC!$A$1:$Q$56</definedName>
    <definedName name="_xlnm.Print_Area" localSheetId="1">IDD!$A$1:$L$64</definedName>
    <definedName name="beta0">#REF!</definedName>
    <definedName name="beta1">#REF!</definedName>
    <definedName name="beta2">#REF!</definedName>
    <definedName name="Final1">#REF!</definedName>
    <definedName name="Final2">#REF!</definedName>
    <definedName name="Final3">#REF!</definedName>
    <definedName name="Final4">#REF!</definedName>
    <definedName name="Final5">#REF!</definedName>
    <definedName name="Final6">#REF!</definedName>
    <definedName name="Final7">#REF!</definedName>
    <definedName name="Final8">#REF!</definedName>
    <definedName name="Fuentes" localSheetId="2">'CARACT. PORT. PASIVOS Webpage'!#REF!</definedName>
    <definedName name="Inicial1">#REF!</definedName>
    <definedName name="Inicial2">#REF!</definedName>
    <definedName name="Inicial3">#REF!</definedName>
    <definedName name="Inicial4">#REF!</definedName>
    <definedName name="Inicial5">#REF!</definedName>
    <definedName name="Inicial6">#REF!</definedName>
    <definedName name="Inicial7">#REF!</definedName>
    <definedName name="Inicial8">#REF!</definedName>
    <definedName name="Inicial9">#REF!</definedName>
    <definedName name="Monedas" localSheetId="2">'CARACT. PORT. PASIVOS Webpage'!$C$3:$M$88</definedName>
    <definedName name="S">#REF!</definedName>
    <definedName name="tao">#REF!</definedName>
    <definedName name="_xlnm.Print_Titles" localSheetId="2">'CARACT. PORT. PASIVOS Webpage'!$3:$7</definedName>
    <definedName name="XX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54" i="2" l="1"/>
  <c r="B53" i="2"/>
  <c r="B52" i="2"/>
  <c r="I84" i="1"/>
  <c r="I85" i="1" s="1"/>
  <c r="F84" i="1"/>
  <c r="F85" i="1" s="1"/>
  <c r="M84" i="1"/>
  <c r="L84" i="1"/>
  <c r="K84" i="1"/>
  <c r="I83" i="1"/>
  <c r="H84" i="1"/>
  <c r="H85" i="1" s="1"/>
  <c r="J83" i="1"/>
  <c r="V80" i="1"/>
  <c r="V79" i="1"/>
  <c r="S79" i="1"/>
  <c r="M78" i="1"/>
  <c r="K78" i="1"/>
  <c r="I78" i="1"/>
  <c r="H78" i="1"/>
  <c r="H81" i="1" s="1"/>
  <c r="F78" i="1"/>
  <c r="S77" i="1"/>
  <c r="L78" i="1"/>
  <c r="J77" i="1"/>
  <c r="V77" i="1" s="1"/>
  <c r="I77" i="1"/>
  <c r="I74" i="1"/>
  <c r="J74" i="1"/>
  <c r="J73" i="1"/>
  <c r="V73" i="1" s="1"/>
  <c r="I73" i="1"/>
  <c r="I72" i="1"/>
  <c r="J72" i="1"/>
  <c r="S71" i="1"/>
  <c r="J71" i="1"/>
  <c r="I71" i="1"/>
  <c r="H75" i="1"/>
  <c r="F75" i="1"/>
  <c r="F81" i="1" s="1"/>
  <c r="J63" i="1"/>
  <c r="J62" i="1"/>
  <c r="F64" i="1"/>
  <c r="J58" i="1"/>
  <c r="S58" i="1" s="1"/>
  <c r="I57" i="1"/>
  <c r="F59" i="1"/>
  <c r="V55" i="1"/>
  <c r="J53" i="1"/>
  <c r="V52" i="1"/>
  <c r="S50" i="1"/>
  <c r="S49" i="1"/>
  <c r="S42" i="1"/>
  <c r="J42" i="1"/>
  <c r="J41" i="1"/>
  <c r="J40" i="1"/>
  <c r="S40" i="1" s="1"/>
  <c r="J39" i="1"/>
  <c r="J38" i="1"/>
  <c r="J37" i="1"/>
  <c r="J36" i="1"/>
  <c r="S36" i="1" s="1"/>
  <c r="I36" i="1"/>
  <c r="J35" i="1"/>
  <c r="S35" i="1" s="1"/>
  <c r="J34" i="1"/>
  <c r="S33" i="1"/>
  <c r="J33" i="1"/>
  <c r="V33" i="1" s="1"/>
  <c r="H51" i="1"/>
  <c r="J32" i="1"/>
  <c r="J31" i="1"/>
  <c r="S31" i="1" s="1"/>
  <c r="J30" i="1"/>
  <c r="J29" i="1"/>
  <c r="I28" i="1"/>
  <c r="J28" i="1"/>
  <c r="H26" i="1"/>
  <c r="I25" i="1"/>
  <c r="I26" i="1" s="1"/>
  <c r="J25" i="1"/>
  <c r="S24" i="1"/>
  <c r="S23" i="1"/>
  <c r="V23" i="1"/>
  <c r="J22" i="1"/>
  <c r="S22" i="1" s="1"/>
  <c r="J21" i="1"/>
  <c r="J20" i="1"/>
  <c r="S20" i="1" s="1"/>
  <c r="J19" i="1"/>
  <c r="J18" i="1"/>
  <c r="S18" i="1" s="1"/>
  <c r="J17" i="1"/>
  <c r="J16" i="1"/>
  <c r="J15" i="1"/>
  <c r="J14" i="1"/>
  <c r="S29" i="1" l="1"/>
  <c r="J51" i="1"/>
  <c r="S28" i="1"/>
  <c r="V28" i="1"/>
  <c r="S62" i="1"/>
  <c r="V25" i="1"/>
  <c r="N25" i="1"/>
  <c r="S25" i="1"/>
  <c r="S37" i="1"/>
  <c r="V37" i="1"/>
  <c r="S72" i="1"/>
  <c r="V72" i="1"/>
  <c r="S14" i="1"/>
  <c r="J26" i="1"/>
  <c r="V14" i="1"/>
  <c r="S39" i="1"/>
  <c r="N39" i="1"/>
  <c r="V39" i="1"/>
  <c r="N21" i="1"/>
  <c r="V21" i="1"/>
  <c r="S21" i="1"/>
  <c r="V38" i="1"/>
  <c r="S38" i="1"/>
  <c r="J85" i="1"/>
  <c r="S85" i="1" s="1"/>
  <c r="V83" i="1"/>
  <c r="S83" i="1"/>
  <c r="J84" i="1"/>
  <c r="P83" i="1"/>
  <c r="P84" i="1" s="1"/>
  <c r="P85" i="1" s="1"/>
  <c r="N83" i="1"/>
  <c r="N84" i="1" s="1"/>
  <c r="S30" i="1"/>
  <c r="S15" i="1"/>
  <c r="V15" i="1"/>
  <c r="V32" i="1"/>
  <c r="S32" i="1"/>
  <c r="N34" i="1"/>
  <c r="V34" i="1"/>
  <c r="S34" i="1"/>
  <c r="N53" i="1"/>
  <c r="K54" i="1" s="1"/>
  <c r="V53" i="1"/>
  <c r="S53" i="1"/>
  <c r="J54" i="1"/>
  <c r="V54" i="1" s="1"/>
  <c r="K85" i="1"/>
  <c r="M85" i="1"/>
  <c r="H54" i="1"/>
  <c r="H59" i="1" s="1"/>
  <c r="H65" i="1" s="1"/>
  <c r="V74" i="1"/>
  <c r="S74" i="1"/>
  <c r="V17" i="1"/>
  <c r="S17" i="1"/>
  <c r="S16" i="1"/>
  <c r="N16" i="1"/>
  <c r="V16" i="1"/>
  <c r="N17" i="1"/>
  <c r="S19" i="1"/>
  <c r="V19" i="1"/>
  <c r="N19" i="1"/>
  <c r="S41" i="1"/>
  <c r="V18" i="1"/>
  <c r="V20" i="1"/>
  <c r="V22" i="1"/>
  <c r="V24" i="1"/>
  <c r="V35" i="1"/>
  <c r="V36" i="1"/>
  <c r="V40" i="1"/>
  <c r="F54" i="1"/>
  <c r="V58" i="1"/>
  <c r="S63" i="1"/>
  <c r="I70" i="1"/>
  <c r="I75" i="1" s="1"/>
  <c r="I81" i="1" s="1"/>
  <c r="J78" i="1"/>
  <c r="V42" i="1"/>
  <c r="J70" i="1"/>
  <c r="N18" i="1"/>
  <c r="N20" i="1"/>
  <c r="N22" i="1"/>
  <c r="N24" i="1"/>
  <c r="N31" i="1"/>
  <c r="I32" i="1"/>
  <c r="I51" i="1" s="1"/>
  <c r="I54" i="1" s="1"/>
  <c r="I59" i="1" s="1"/>
  <c r="I65" i="1" s="1"/>
  <c r="J57" i="1"/>
  <c r="S73" i="1"/>
  <c r="N42" i="1"/>
  <c r="N43" i="1"/>
  <c r="V71" i="1"/>
  <c r="F51" i="1"/>
  <c r="J61" i="1"/>
  <c r="I86" i="1" l="1"/>
  <c r="X11" i="1"/>
  <c r="T83" i="1" s="1"/>
  <c r="N50" i="1"/>
  <c r="N46" i="1"/>
  <c r="N49" i="1"/>
  <c r="V51" i="1"/>
  <c r="N33" i="1"/>
  <c r="L85" i="1"/>
  <c r="N30" i="1"/>
  <c r="X32" i="1"/>
  <c r="N28" i="1"/>
  <c r="N29" i="1"/>
  <c r="M54" i="1"/>
  <c r="N54" i="1"/>
  <c r="N47" i="1"/>
  <c r="N40" i="1"/>
  <c r="S84" i="1"/>
  <c r="N38" i="1"/>
  <c r="S51" i="1"/>
  <c r="J59" i="1"/>
  <c r="V57" i="1"/>
  <c r="N57" i="1"/>
  <c r="S57" i="1"/>
  <c r="N41" i="1"/>
  <c r="N32" i="1"/>
  <c r="J86" i="1"/>
  <c r="N45" i="1"/>
  <c r="N36" i="1"/>
  <c r="V70" i="1"/>
  <c r="S70" i="1"/>
  <c r="J75" i="1"/>
  <c r="P70" i="1"/>
  <c r="S54" i="1"/>
  <c r="L54" i="1"/>
  <c r="S26" i="1"/>
  <c r="N23" i="1"/>
  <c r="N15" i="1"/>
  <c r="J81" i="1"/>
  <c r="V78" i="1"/>
  <c r="S78" i="1"/>
  <c r="N77" i="1"/>
  <c r="N78" i="1" s="1"/>
  <c r="N37" i="1"/>
  <c r="N48" i="1"/>
  <c r="P61" i="1"/>
  <c r="J64" i="1"/>
  <c r="S61" i="1"/>
  <c r="N44" i="1"/>
  <c r="N35" i="1"/>
  <c r="N14" i="1"/>
  <c r="N64" i="1" l="1"/>
  <c r="N62" i="1"/>
  <c r="N63" i="1"/>
  <c r="T53" i="1"/>
  <c r="N61" i="1"/>
  <c r="P63" i="1"/>
  <c r="S86" i="1"/>
  <c r="O46" i="1"/>
  <c r="O63" i="1"/>
  <c r="O77" i="1"/>
  <c r="O78" i="1" s="1"/>
  <c r="O50" i="1"/>
  <c r="O33" i="1"/>
  <c r="O23" i="1"/>
  <c r="O17" i="1"/>
  <c r="O22" i="1"/>
  <c r="O42" i="1"/>
  <c r="O58" i="1"/>
  <c r="O14" i="1"/>
  <c r="O71" i="1"/>
  <c r="O29" i="1"/>
  <c r="O37" i="1"/>
  <c r="O34" i="1"/>
  <c r="O16" i="1"/>
  <c r="O24" i="1"/>
  <c r="O43" i="1"/>
  <c r="O35" i="1"/>
  <c r="O62" i="1"/>
  <c r="O74" i="1"/>
  <c r="P62" i="1"/>
  <c r="O19" i="1"/>
  <c r="O18" i="1"/>
  <c r="O28" i="1"/>
  <c r="O72" i="1"/>
  <c r="O30" i="1"/>
  <c r="O31" i="1"/>
  <c r="O47" i="1"/>
  <c r="O44" i="1"/>
  <c r="O39" i="1"/>
  <c r="O38" i="1"/>
  <c r="O53" i="1"/>
  <c r="O54" i="1" s="1"/>
  <c r="O36" i="1"/>
  <c r="O48" i="1"/>
  <c r="O15" i="1"/>
  <c r="O45" i="1"/>
  <c r="O25" i="1"/>
  <c r="O49" i="1"/>
  <c r="O20" i="1"/>
  <c r="O21" i="1"/>
  <c r="O83" i="1"/>
  <c r="O84" i="1" s="1"/>
  <c r="O85" i="1" s="1"/>
  <c r="O73" i="1"/>
  <c r="O40" i="1"/>
  <c r="O32" i="1"/>
  <c r="O41" i="1"/>
  <c r="V59" i="1"/>
  <c r="J65" i="1"/>
  <c r="N58" i="1"/>
  <c r="M59" i="1" s="1"/>
  <c r="O61" i="1"/>
  <c r="P73" i="1"/>
  <c r="V81" i="1"/>
  <c r="P72" i="1"/>
  <c r="P74" i="1"/>
  <c r="P71" i="1"/>
  <c r="P75" i="1" s="1"/>
  <c r="P77" i="1"/>
  <c r="P78" i="1" s="1"/>
  <c r="N73" i="1"/>
  <c r="S75" i="1"/>
  <c r="N72" i="1"/>
  <c r="N74" i="1"/>
  <c r="N71" i="1"/>
  <c r="T20" i="1"/>
  <c r="T18" i="1"/>
  <c r="T24" i="1"/>
  <c r="T58" i="1"/>
  <c r="T23" i="1"/>
  <c r="T77" i="1"/>
  <c r="T73" i="1"/>
  <c r="P64" i="1"/>
  <c r="L51" i="1"/>
  <c r="N51" i="1"/>
  <c r="M51" i="1"/>
  <c r="K51" i="1"/>
  <c r="N26" i="1"/>
  <c r="L26" i="1"/>
  <c r="K26" i="1"/>
  <c r="M26" i="1"/>
  <c r="O70" i="1"/>
  <c r="T25" i="1"/>
  <c r="O57" i="1"/>
  <c r="O59" i="1" s="1"/>
  <c r="T15" i="1"/>
  <c r="N70" i="1"/>
  <c r="S59" i="1"/>
  <c r="T57" i="1"/>
  <c r="T21" i="1"/>
  <c r="Y32" i="1"/>
  <c r="N75" i="1" l="1"/>
  <c r="M75" i="1"/>
  <c r="M81" i="1" s="1"/>
  <c r="L75" i="1"/>
  <c r="L81" i="1" s="1"/>
  <c r="K75" i="1"/>
  <c r="K81" i="1" s="1"/>
  <c r="O51" i="1"/>
  <c r="O65" i="1" s="1"/>
  <c r="P81" i="1"/>
  <c r="P49" i="1"/>
  <c r="P46" i="1"/>
  <c r="P28" i="1"/>
  <c r="P16" i="1"/>
  <c r="P44" i="1"/>
  <c r="P50" i="1"/>
  <c r="P18" i="1"/>
  <c r="P25" i="1"/>
  <c r="P15" i="1"/>
  <c r="P19" i="1"/>
  <c r="P23" i="1"/>
  <c r="P20" i="1"/>
  <c r="P30" i="1"/>
  <c r="P36" i="1"/>
  <c r="P40" i="1"/>
  <c r="P22" i="1"/>
  <c r="P29" i="1"/>
  <c r="P31" i="1"/>
  <c r="P43" i="1"/>
  <c r="P45" i="1"/>
  <c r="P58" i="1"/>
  <c r="P39" i="1"/>
  <c r="P42" i="1"/>
  <c r="P37" i="1"/>
  <c r="P32" i="1"/>
  <c r="P34" i="1"/>
  <c r="P53" i="1"/>
  <c r="P54" i="1" s="1"/>
  <c r="P17" i="1"/>
  <c r="P41" i="1"/>
  <c r="P33" i="1"/>
  <c r="P24" i="1"/>
  <c r="P14" i="1"/>
  <c r="P38" i="1"/>
  <c r="P35" i="1"/>
  <c r="P47" i="1"/>
  <c r="P21" i="1"/>
  <c r="P48" i="1"/>
  <c r="P57" i="1"/>
  <c r="P59" i="1" s="1"/>
  <c r="X33" i="1"/>
  <c r="X12" i="1"/>
  <c r="K59" i="1"/>
  <c r="O26" i="1"/>
  <c r="N65" i="1"/>
  <c r="N59" i="1"/>
  <c r="O75" i="1"/>
  <c r="L59" i="1"/>
  <c r="O81" i="1"/>
  <c r="O64" i="1"/>
  <c r="M64" i="1"/>
  <c r="K64" i="1"/>
  <c r="L64" i="1"/>
  <c r="T22" i="1" l="1"/>
  <c r="T42" i="1"/>
  <c r="T31" i="1"/>
  <c r="T35" i="1"/>
  <c r="T49" i="1"/>
  <c r="T36" i="1"/>
  <c r="T71" i="1"/>
  <c r="T50" i="1"/>
  <c r="T40" i="1"/>
  <c r="T33" i="1"/>
  <c r="T74" i="1"/>
  <c r="T30" i="1"/>
  <c r="T37" i="1"/>
  <c r="T72" i="1"/>
  <c r="T41" i="1"/>
  <c r="T38" i="1"/>
  <c r="T29" i="1"/>
  <c r="T19" i="1"/>
  <c r="T16" i="1"/>
  <c r="T32" i="1"/>
  <c r="T17" i="1"/>
  <c r="T28" i="1"/>
  <c r="T34" i="1"/>
  <c r="T39" i="1"/>
  <c r="T14" i="1"/>
  <c r="X13" i="1"/>
  <c r="X25" i="1" s="1"/>
  <c r="X26" i="1" s="1"/>
  <c r="T70" i="1"/>
  <c r="P26" i="1"/>
  <c r="P65" i="1"/>
  <c r="O86" i="1"/>
  <c r="Y33" i="1"/>
  <c r="X35" i="1"/>
  <c r="P51" i="1"/>
  <c r="M65" i="1" l="1"/>
  <c r="M86" i="1" s="1"/>
  <c r="L65" i="1"/>
  <c r="L86" i="1" s="1"/>
  <c r="K65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mmontoyam</author>
  </authors>
  <commentList>
    <comment ref="B16" authorId="0" shapeId="0" xr:uid="{07F089A2-3BDB-4796-8B4F-04E5995C0555}">
      <text>
        <r>
          <rPr>
            <b/>
            <sz val="8"/>
            <color indexed="81"/>
            <rFont val="Tahoma"/>
            <family val="2"/>
          </rPr>
          <t>Revisar fechas de proximo pago de cupones</t>
        </r>
      </text>
    </comment>
  </commentList>
</comments>
</file>

<file path=xl/sharedStrings.xml><?xml version="1.0" encoding="utf-8"?>
<sst xmlns="http://schemas.openxmlformats.org/spreadsheetml/2006/main" count="339" uniqueCount="182">
  <si>
    <t>SECRETARÍA DISTRITAL DE HACIENDA</t>
  </si>
  <si>
    <t>DIRECCIÓN DISTRITAL DE CRÉDITO PÚBLICO</t>
  </si>
  <si>
    <r>
      <t>CARACTERíSTICAS DEL PORTAFOLIO DE PASIVOS</t>
    </r>
    <r>
      <rPr>
        <b/>
        <vertAlign val="superscript"/>
        <sz val="12"/>
        <color rgb="FFE5162F"/>
        <rFont val="Tahoma"/>
        <family val="2"/>
      </rPr>
      <t>1</t>
    </r>
  </si>
  <si>
    <r>
      <rPr>
        <i/>
        <vertAlign val="superscript"/>
        <sz val="8"/>
        <color theme="1" tint="0.249977111117893"/>
        <rFont val="Tahoma"/>
        <family val="2"/>
      </rPr>
      <t>1</t>
    </r>
    <r>
      <rPr>
        <i/>
        <sz val="8"/>
        <color theme="1" tint="0.249977111117893"/>
        <rFont val="Tahoma"/>
        <family val="2"/>
      </rPr>
      <t>Características del Portafolio  Contempla las deudas desembolsadas, en virtud que dichos saldos reflejan el portafolio de deuda financieramente exigible.</t>
    </r>
  </si>
  <si>
    <t>CORTE A</t>
  </si>
  <si>
    <t>*Cifras en miles de unidades monetarias para monedas distintas a COP.</t>
  </si>
  <si>
    <t>CRÉDITO</t>
  </si>
  <si>
    <t>MONEDA DE ORIGEN</t>
  </si>
  <si>
    <t>TASA DE 
INTERÉS</t>
  </si>
  <si>
    <t>*SALDO MONEDA ORGINAL</t>
  </si>
  <si>
    <t>VENCIMIENTO</t>
  </si>
  <si>
    <t>DESEMBOLSOS PENDIENTES (MON. ORG)</t>
  </si>
  <si>
    <t>DESEMBOLSOS PENDIENTES COP</t>
  </si>
  <si>
    <t>SALDO COP
(Millones  $COP)</t>
  </si>
  <si>
    <t>VIDA 
MEDIA</t>
  </si>
  <si>
    <t>DUR</t>
  </si>
  <si>
    <t>DM</t>
  </si>
  <si>
    <t>PONDERACIÓN POR FUENTE</t>
  </si>
  <si>
    <t>PONDERACIÓN</t>
  </si>
  <si>
    <t>PONDERACIÓN POR MONEDA</t>
  </si>
  <si>
    <t>Tipo de Endeudamiento</t>
  </si>
  <si>
    <t>TIPO</t>
  </si>
  <si>
    <t>SALDO COP (COMP. INTERESES)</t>
  </si>
  <si>
    <t>PONDERACIÓN TASA DE INTERÉS</t>
  </si>
  <si>
    <t xml:space="preserve">Sumatoria Fijo: </t>
  </si>
  <si>
    <t>DEUDA COP</t>
  </si>
  <si>
    <t>Sumatoria Variable:</t>
  </si>
  <si>
    <t>BONOS</t>
  </si>
  <si>
    <t>TOTAL</t>
  </si>
  <si>
    <t>PEC 10D12</t>
  </si>
  <si>
    <t>COP</t>
  </si>
  <si>
    <t>IPC + 4,35%</t>
  </si>
  <si>
    <t>INTERNA</t>
  </si>
  <si>
    <t>IPC</t>
  </si>
  <si>
    <t>PEC 10O20</t>
  </si>
  <si>
    <t>UVR</t>
  </si>
  <si>
    <t>FIJO</t>
  </si>
  <si>
    <t>PEC 9D4</t>
  </si>
  <si>
    <t>IPC + 1,3%</t>
  </si>
  <si>
    <t>PEC 9D10</t>
  </si>
  <si>
    <t>IPC + 2,7%</t>
  </si>
  <si>
    <t>PEC 9O15</t>
  </si>
  <si>
    <t>PEC 9O25</t>
  </si>
  <si>
    <t>PEC 8D10</t>
  </si>
  <si>
    <t>IPC + 3,70%</t>
  </si>
  <si>
    <t>PEC 8O20</t>
  </si>
  <si>
    <t>PEC 7D10</t>
  </si>
  <si>
    <t>IPC + 2,79%</t>
  </si>
  <si>
    <t>PEC 7O20</t>
  </si>
  <si>
    <t>PEC 7O29</t>
  </si>
  <si>
    <t>GLOBAL PESOS</t>
  </si>
  <si>
    <t>EXTERNA EN PESOS</t>
  </si>
  <si>
    <t>%Variable:</t>
  </si>
  <si>
    <t>TOTAL BONOS</t>
  </si>
  <si>
    <t>% TOTAL</t>
  </si>
  <si>
    <t>COMERCIAL</t>
  </si>
  <si>
    <r>
      <t>CORBANCA - SED</t>
    </r>
    <r>
      <rPr>
        <vertAlign val="superscript"/>
        <sz val="10"/>
        <color theme="1" tint="0.14999847407452621"/>
        <rFont val="Tahoma"/>
        <family val="2"/>
      </rPr>
      <t>2</t>
    </r>
  </si>
  <si>
    <t>DTF - 2,40%</t>
  </si>
  <si>
    <t>DTF</t>
  </si>
  <si>
    <r>
      <t>BBVA 2024</t>
    </r>
    <r>
      <rPr>
        <vertAlign val="superscript"/>
        <sz val="10"/>
        <color theme="1" tint="0.14999847407452621"/>
        <rFont val="Tahoma"/>
        <family val="2"/>
      </rPr>
      <t>5</t>
    </r>
  </si>
  <si>
    <t>IBR 3M + 2,69%</t>
  </si>
  <si>
    <t>IBR</t>
  </si>
  <si>
    <r>
      <t>Banco de Bogotá 2024</t>
    </r>
    <r>
      <rPr>
        <vertAlign val="superscript"/>
        <sz val="10"/>
        <color theme="1" tint="0.14999847407452621"/>
        <rFont val="Tahoma"/>
        <family val="2"/>
      </rPr>
      <t>5</t>
    </r>
  </si>
  <si>
    <t>IBR 3M + 2,70%</t>
  </si>
  <si>
    <r>
      <t>Bancolombia 2024</t>
    </r>
    <r>
      <rPr>
        <vertAlign val="superscript"/>
        <sz val="10"/>
        <color theme="1" tint="0.14999847407452621"/>
        <rFont val="Tahoma"/>
        <family val="2"/>
      </rPr>
      <t>5</t>
    </r>
  </si>
  <si>
    <t>IBR 3M + 2,84%</t>
  </si>
  <si>
    <t>BBVA - CABLE</t>
  </si>
  <si>
    <t>IBR 1M - 1,97%</t>
  </si>
  <si>
    <t>Interna</t>
  </si>
  <si>
    <t>BBVA-CABLE-2</t>
  </si>
  <si>
    <t>IBR 1M + 0,25%</t>
  </si>
  <si>
    <t>Externa</t>
  </si>
  <si>
    <t>BBVA-C_F</t>
  </si>
  <si>
    <t>BANCOLOMBIA 10</t>
  </si>
  <si>
    <t>IBR 1M - 2,02%</t>
  </si>
  <si>
    <t>BANCOLOMBIA</t>
  </si>
  <si>
    <t>DTF - 1,18%</t>
  </si>
  <si>
    <t>IBR 3M + 1,59%</t>
  </si>
  <si>
    <t>IBR 3M + 1,90%</t>
  </si>
  <si>
    <r>
      <t>Banco Agrario (2)</t>
    </r>
    <r>
      <rPr>
        <vertAlign val="superscript"/>
        <sz val="10"/>
        <color theme="1" tint="0.14999847407452621"/>
        <rFont val="Tahoma"/>
        <family val="2"/>
      </rPr>
      <t>4</t>
    </r>
  </si>
  <si>
    <t>IBR 3M + 1,88%</t>
  </si>
  <si>
    <r>
      <t>Banco de Bogotá 220902</t>
    </r>
    <r>
      <rPr>
        <vertAlign val="superscript"/>
        <sz val="10"/>
        <color theme="1" tint="0.14999847407452621"/>
        <rFont val="Tahoma"/>
        <family val="2"/>
      </rPr>
      <t>5</t>
    </r>
  </si>
  <si>
    <r>
      <t>BANCO DE BOGOTA 220874</t>
    </r>
    <r>
      <rPr>
        <vertAlign val="superscript"/>
        <sz val="10"/>
        <color theme="1" tint="0.14999847407452621"/>
        <rFont val="Tahoma"/>
        <family val="2"/>
      </rPr>
      <t>5</t>
    </r>
  </si>
  <si>
    <t>Bancolombia 2024 (II)</t>
  </si>
  <si>
    <t>IBR 3M + 1,95%</t>
  </si>
  <si>
    <t>Bancolombia 2024 (III)</t>
  </si>
  <si>
    <t>IBR 3M + 1,08%</t>
  </si>
  <si>
    <t>Davivienda (Findeter) 2024</t>
  </si>
  <si>
    <t>IBR 3M + 1,26%</t>
  </si>
  <si>
    <r>
      <t>Bancolombia 0,8B 2022</t>
    </r>
    <r>
      <rPr>
        <vertAlign val="superscript"/>
        <sz val="10"/>
        <color theme="1" tint="0.14999847407452621"/>
        <rFont val="Tahoma"/>
        <family val="2"/>
      </rPr>
      <t>5</t>
    </r>
  </si>
  <si>
    <r>
      <t>Bancolombia 0,2B 2022</t>
    </r>
    <r>
      <rPr>
        <vertAlign val="superscript"/>
        <sz val="10"/>
        <color theme="1" tint="0.14999847407452621"/>
        <rFont val="Tahoma"/>
        <family val="2"/>
      </rPr>
      <t>5</t>
    </r>
  </si>
  <si>
    <t>TOTAL COMERCIAL</t>
  </si>
  <si>
    <t>COMERCIAL EXTERNA</t>
  </si>
  <si>
    <r>
      <t>BBVA COL-02005-21</t>
    </r>
    <r>
      <rPr>
        <vertAlign val="superscript"/>
        <sz val="10"/>
        <color theme="1" tint="0.14999847407452621"/>
        <rFont val="Tahoma"/>
        <family val="2"/>
      </rPr>
      <t>6</t>
    </r>
  </si>
  <si>
    <t>TOTAL COMERCIAL EXTERNA</t>
  </si>
  <si>
    <t>MULTILATERAL COP</t>
  </si>
  <si>
    <r>
      <t>IFC 39772</t>
    </r>
    <r>
      <rPr>
        <vertAlign val="superscript"/>
        <sz val="10"/>
        <color theme="1" tint="0.14999847407452621"/>
        <rFont val="Tahoma"/>
        <family val="2"/>
      </rPr>
      <t>6</t>
    </r>
  </si>
  <si>
    <r>
      <t>6,875% y 7,7%</t>
    </r>
    <r>
      <rPr>
        <vertAlign val="superscript"/>
        <sz val="10"/>
        <color theme="1" tint="0.14999847407452621"/>
        <rFont val="Tahoma"/>
        <family val="2"/>
      </rPr>
      <t>3</t>
    </r>
  </si>
  <si>
    <r>
      <t>IFC 38347</t>
    </r>
    <r>
      <rPr>
        <vertAlign val="superscript"/>
        <sz val="10"/>
        <color theme="1" tint="0.14999847407452621"/>
        <rFont val="Tahoma"/>
        <family val="2"/>
      </rPr>
      <t>6</t>
    </r>
  </si>
  <si>
    <r>
      <t>7,91% y 11,05%</t>
    </r>
    <r>
      <rPr>
        <vertAlign val="superscript"/>
        <sz val="10"/>
        <color theme="1" tint="0.14999847407452621"/>
        <rFont val="Tahoma"/>
        <family val="2"/>
      </rPr>
      <t>3</t>
    </r>
  </si>
  <si>
    <t>TOTAL MULTILATERAL COP</t>
  </si>
  <si>
    <t>FOMENTO COP</t>
  </si>
  <si>
    <r>
      <t>AFD (1)</t>
    </r>
    <r>
      <rPr>
        <vertAlign val="superscript"/>
        <sz val="10"/>
        <color theme="1" tint="0.14999847407452621"/>
        <rFont val="Tahoma"/>
        <family val="2"/>
      </rPr>
      <t>6</t>
    </r>
  </si>
  <si>
    <t>IBR 3M + 2,65%</t>
  </si>
  <si>
    <r>
      <t>AFD (2)</t>
    </r>
    <r>
      <rPr>
        <vertAlign val="superscript"/>
        <sz val="10"/>
        <color theme="1" tint="0.14999847407452621"/>
        <rFont val="Tahoma"/>
        <family val="2"/>
      </rPr>
      <t>6</t>
    </r>
  </si>
  <si>
    <t>IBR 3M + 2,64%</t>
  </si>
  <si>
    <r>
      <t>AFD (3)</t>
    </r>
    <r>
      <rPr>
        <vertAlign val="superscript"/>
        <sz val="10"/>
        <color theme="1" tint="0.14999847407452621"/>
        <rFont val="Tahoma"/>
        <family val="2"/>
      </rPr>
      <t>6</t>
    </r>
  </si>
  <si>
    <t>IBR 3M + 2,54%</t>
  </si>
  <si>
    <t>TOTAL FOMENTO COP</t>
  </si>
  <si>
    <t>TOTAL DEUDA COP</t>
  </si>
  <si>
    <t>MULTILATERAL</t>
  </si>
  <si>
    <t>CAF 4081</t>
  </si>
  <si>
    <t>USD</t>
  </si>
  <si>
    <t>SOFR 6M + 1,45%</t>
  </si>
  <si>
    <t>EXTERNA NO CUB.</t>
  </si>
  <si>
    <t>LB6M</t>
  </si>
  <si>
    <t>CAF 4536</t>
  </si>
  <si>
    <t>SOFR 6M + 1,35%</t>
  </si>
  <si>
    <t>IFC 26473</t>
  </si>
  <si>
    <t>SOFR 6M + 1,31%</t>
  </si>
  <si>
    <t>BID 1812</t>
  </si>
  <si>
    <t>BID (MKO 5,13%)</t>
  </si>
  <si>
    <t>BID 1812 2</t>
  </si>
  <si>
    <t>SOFR ON + 1,05%</t>
  </si>
  <si>
    <t>LB3M</t>
  </si>
  <si>
    <t>TOTAL MULTILATERAL</t>
  </si>
  <si>
    <t>GOBIERNO</t>
  </si>
  <si>
    <t>ICO</t>
  </si>
  <si>
    <t>TOTAL FOMENTO</t>
  </si>
  <si>
    <t>TOTAL DEUDA USD</t>
  </si>
  <si>
    <t>FOMENTO</t>
  </si>
  <si>
    <t>KFW</t>
  </si>
  <si>
    <t>EUR</t>
  </si>
  <si>
    <t>TOTAL DEUDA EUR</t>
  </si>
  <si>
    <t>TOTAL PORTAFOLIO</t>
  </si>
  <si>
    <t>--</t>
  </si>
  <si>
    <t xml:space="preserve"> </t>
  </si>
  <si>
    <t>TRM</t>
  </si>
  <si>
    <r>
      <rPr>
        <i/>
        <vertAlign val="superscript"/>
        <sz val="10"/>
        <color theme="1" tint="0.249977111117893"/>
        <rFont val="Arial"/>
        <family val="2"/>
      </rPr>
      <t xml:space="preserve">2 </t>
    </r>
    <r>
      <rPr>
        <i/>
        <sz val="10"/>
        <color theme="1" tint="0.249977111117893"/>
        <rFont val="Arial"/>
        <family val="2"/>
      </rPr>
      <t>Anteriormente Helm Bank - SED.</t>
    </r>
  </si>
  <si>
    <r>
      <rPr>
        <i/>
        <vertAlign val="superscript"/>
        <sz val="10"/>
        <color theme="1" tint="0.249977111117893"/>
        <rFont val="Arial"/>
        <family val="2"/>
      </rPr>
      <t xml:space="preserve">3 </t>
    </r>
    <r>
      <rPr>
        <i/>
        <sz val="10"/>
        <color theme="1" tint="0.249977111117893"/>
        <rFont val="Arial"/>
        <family val="2"/>
      </rPr>
      <t>Tasas para primer y segundo desembolso, respectivamente.</t>
    </r>
  </si>
  <si>
    <t>www.haciendabogota.gov.co</t>
  </si>
  <si>
    <t>Carrera 30 N°. 25-90</t>
  </si>
  <si>
    <r>
      <rPr>
        <i/>
        <vertAlign val="superscript"/>
        <sz val="10"/>
        <color theme="1" tint="0.249977111117893"/>
        <rFont val="Arial"/>
        <family val="2"/>
      </rPr>
      <t>4</t>
    </r>
    <r>
      <rPr>
        <i/>
        <sz val="10"/>
        <color theme="1" tint="0.249977111117893"/>
        <rFont val="Arial"/>
        <family val="2"/>
      </rPr>
      <t xml:space="preserve"> Créditos provenientes de la sustitución de deuda durante el 2024.</t>
    </r>
  </si>
  <si>
    <t>NIT 899.999.061-9</t>
  </si>
  <si>
    <t>PBX: (571) 338 5000</t>
  </si>
  <si>
    <r>
      <t xml:space="preserve">5 </t>
    </r>
    <r>
      <rPr>
        <i/>
        <sz val="10"/>
        <color theme="1" tint="0.249977111117893"/>
        <rFont val="Arial"/>
        <family val="2"/>
      </rPr>
      <t>Obligaciones que tuvieron una reducción en el margen de tasa de intereses a causa de la operación de sustitución, pero cuyos acreedores son los mismos</t>
    </r>
    <r>
      <rPr>
        <i/>
        <vertAlign val="superscript"/>
        <sz val="10"/>
        <color theme="1" tint="0.249977111117893"/>
        <rFont val="Arial"/>
        <family val="2"/>
      </rPr>
      <t>.</t>
    </r>
  </si>
  <si>
    <t>Bogotá D.C. - Colombia</t>
  </si>
  <si>
    <r>
      <rPr>
        <i/>
        <vertAlign val="superscript"/>
        <sz val="11"/>
        <color theme="1" tint="0.249977111117893"/>
        <rFont val="Aptos Narrow"/>
        <family val="2"/>
        <scheme val="minor"/>
      </rPr>
      <t>6</t>
    </r>
    <r>
      <rPr>
        <i/>
        <sz val="11"/>
        <color theme="1" tint="0.249977111117893"/>
        <rFont val="Aptos Narrow"/>
        <family val="2"/>
        <scheme val="minor"/>
      </rPr>
      <t xml:space="preserve"> </t>
    </r>
    <r>
      <rPr>
        <i/>
        <sz val="10"/>
        <color theme="1" tint="0.249977111117893"/>
        <rFont val="Aptos Narrow"/>
        <family val="2"/>
        <scheme val="minor"/>
      </rPr>
      <t>Corresponden a obligaciones que fueron sujetas a operaciones de coberturas de moneda</t>
    </r>
    <r>
      <rPr>
        <sz val="10"/>
        <color theme="1" tint="0.249977111117893"/>
        <rFont val="Aptos Narrow"/>
        <family val="2"/>
        <scheme val="minor"/>
      </rPr>
      <t>.</t>
    </r>
  </si>
  <si>
    <t>Código Postal 111311</t>
  </si>
  <si>
    <t>PORTAFOLIO DE DEUDA DEL DISTRITO CAPITAL</t>
  </si>
  <si>
    <t>PERFIL DE LA DEUDA</t>
  </si>
  <si>
    <t xml:space="preserve">FECHA DE CORTE: </t>
  </si>
  <si>
    <t>Información con valores a corte de la fecha nombrada.</t>
  </si>
  <si>
    <t>SALDO DE DEUDA TOTAL¹</t>
  </si>
  <si>
    <t>Saldo de Deuda en COP¹</t>
  </si>
  <si>
    <r>
      <t>Saldo de Deuda en UVR</t>
    </r>
    <r>
      <rPr>
        <b/>
        <sz val="14"/>
        <rFont val="Calibri"/>
        <family val="2"/>
      </rPr>
      <t>¹</t>
    </r>
  </si>
  <si>
    <r>
      <t>Saldo de Deuda en USD</t>
    </r>
    <r>
      <rPr>
        <b/>
        <sz val="14"/>
        <rFont val="Calibri"/>
        <family val="2"/>
      </rPr>
      <t>¹</t>
    </r>
  </si>
  <si>
    <r>
      <t>Saldo de Deuda en EUR</t>
    </r>
    <r>
      <rPr>
        <b/>
        <sz val="14"/>
        <rFont val="Calibri"/>
        <family val="2"/>
      </rPr>
      <t>¹</t>
    </r>
  </si>
  <si>
    <t>Vida Media</t>
  </si>
  <si>
    <t>Duración</t>
  </si>
  <si>
    <t>Duración Modificada</t>
  </si>
  <si>
    <t>UVR:</t>
  </si>
  <si>
    <t>TRM:</t>
  </si>
  <si>
    <t>EURO:</t>
  </si>
  <si>
    <t>¹ Cifras en billones de pesos</t>
  </si>
  <si>
    <t>Deuda en mon. origen (UVR)</t>
  </si>
  <si>
    <t>Deuda en mon. origen (USD)</t>
  </si>
  <si>
    <t>Deuda en mon. origen (EUR)</t>
  </si>
  <si>
    <t>Cifras en millones de mon. origen</t>
  </si>
  <si>
    <t>Miles de Unidades Monetarias</t>
  </si>
  <si>
    <t>PERFIL DE LA DEUDA CONTRATADA*</t>
  </si>
  <si>
    <t xml:space="preserve"> *IDC  Deuda Contratada = Saldo de la Deuda + Deuda Nueva Contratada</t>
  </si>
  <si>
    <t>Saldo Deuda Contratada¹</t>
  </si>
  <si>
    <t>Saldo de Deuda en UVR</t>
  </si>
  <si>
    <t>Saldo de Deuda en USD</t>
  </si>
  <si>
    <t>Saldo de Deuda en EUR</t>
  </si>
  <si>
    <t>Cifras en miles de unidades monetarias</t>
  </si>
  <si>
    <t xml:space="preserve">BBVA 2022 </t>
  </si>
  <si>
    <t xml:space="preserve">BANBOGOTÁ 2022 </t>
  </si>
  <si>
    <t xml:space="preserve">Popular 2022 </t>
  </si>
  <si>
    <t xml:space="preserve">Occidente 2022 </t>
  </si>
  <si>
    <t xml:space="preserve">AV Villas 2022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</si>
</sst>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5">
    <numFmt numFmtId="44" formatCode="_-&quot;$&quot;\ * #,##0.00_-;\-&quot;$&quot;\ * #,##0.00_-;_-&quot;$&quot;\ * &quot;-&quot;??_-;_-@_-"/>
    <numFmt numFmtId="164" formatCode="_(* #,##0_);_(* \(#,##0\);_(* &quot;-&quot;_);_(@_)"/>
    <numFmt numFmtId="165" formatCode="_(* #,##0.00_);_(* \(#,##0.00\);_(* &quot;-&quot;??_);_(@_)"/>
    <numFmt numFmtId="166" formatCode="#,##0.0000000"/>
    <numFmt numFmtId="167" formatCode="#,##0.0"/>
    <numFmt numFmtId="168" formatCode="_(&quot;$&quot;\ * #,##0.00_);_(&quot;$&quot;\ * \(#,##0.00\);_(&quot;$&quot;\ * &quot;-&quot;??_);_(@_)"/>
    <numFmt numFmtId="169" formatCode="&quot;$&quot;\ #,##0"/>
    <numFmt numFmtId="170" formatCode="\*&quot;$&quot;\ #,##0"/>
    <numFmt numFmtId="171" formatCode="&quot;$&quot;\ #,##0.0"/>
    <numFmt numFmtId="172" formatCode="&quot;$&quot;\ #,##0.000000"/>
    <numFmt numFmtId="173" formatCode="&quot;$&quot;\ #,##0\*"/>
    <numFmt numFmtId="174" formatCode="&quot;$&quot;\ #,##0.00"/>
    <numFmt numFmtId="175" formatCode="&quot;$&quot;\ #,##0.0000"/>
    <numFmt numFmtId="176" formatCode="0.0%"/>
    <numFmt numFmtId="177" formatCode="_(* #,##0.0000_);_(* \(#,##0.0000\);_(* &quot;-&quot;??_);_(@_)"/>
    <numFmt numFmtId="178" formatCode="_(* #,##0_);_(* \(#,##0\);_(* &quot;-&quot;??_);_(@_)"/>
    <numFmt numFmtId="179" formatCode="&quot;$&quot;\ #,##0.0;[Red]\-&quot;$&quot;\ #,##0.0"/>
    <numFmt numFmtId="180" formatCode="&quot;$&quot;\ #,##0.00_);\(&quot;$&quot;\ #,##0.00\)"/>
    <numFmt numFmtId="181" formatCode="#,##0.000000"/>
    <numFmt numFmtId="182" formatCode="#,##0.0000"/>
    <numFmt numFmtId="183" formatCode="_(&quot;$&quot;\ * #,##0_);_(&quot;$&quot;\ * \(#,##0\);_(&quot;$&quot;\ * &quot;-&quot;??_);_(@_)"/>
    <numFmt numFmtId="184" formatCode="&quot;$&quot;\ #,##0.0_);\(&quot;$&quot;\ #,##0.0\)"/>
    <numFmt numFmtId="185" formatCode="&quot;$&quot;#,##0.00_);[Red]\(&quot;$&quot;#,##0.00\)"/>
    <numFmt numFmtId="186" formatCode="#,##0.000000000;[Red]\-#,##0.000000000"/>
    <numFmt numFmtId="187" formatCode="#,##0.00000000;[Red]\-#,##0.00000000"/>
  </numFmts>
  <fonts count="65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0"/>
      <name val="Tahoma"/>
      <family val="2"/>
    </font>
    <font>
      <b/>
      <sz val="12"/>
      <color rgb="FFE5162F"/>
      <name val="Tahoma"/>
      <family val="2"/>
    </font>
    <font>
      <b/>
      <vertAlign val="superscript"/>
      <sz val="12"/>
      <color rgb="FFE5162F"/>
      <name val="Tahoma"/>
      <family val="2"/>
    </font>
    <font>
      <i/>
      <sz val="8"/>
      <color theme="1" tint="0.249977111117893"/>
      <name val="Tahoma"/>
      <family val="2"/>
    </font>
    <font>
      <i/>
      <vertAlign val="superscript"/>
      <sz val="8"/>
      <color theme="1" tint="0.249977111117893"/>
      <name val="Tahoma"/>
      <family val="2"/>
    </font>
    <font>
      <b/>
      <sz val="12"/>
      <name val="Tahoma"/>
      <family val="2"/>
    </font>
    <font>
      <b/>
      <i/>
      <sz val="9"/>
      <color theme="1" tint="0.34998626667073579"/>
      <name val="Tahoma"/>
      <family val="2"/>
    </font>
    <font>
      <sz val="10"/>
      <color rgb="FFE5162F"/>
      <name val="Tahoma"/>
      <family val="2"/>
    </font>
    <font>
      <b/>
      <sz val="10"/>
      <color theme="1" tint="0.14999847407452621"/>
      <name val="Tahoma"/>
      <family val="2"/>
    </font>
    <font>
      <b/>
      <sz val="10"/>
      <name val="Tahoma"/>
      <family val="2"/>
    </font>
    <font>
      <b/>
      <sz val="10"/>
      <color rgb="FF002060"/>
      <name val="Tahoma"/>
      <family val="2"/>
    </font>
    <font>
      <sz val="10"/>
      <color rgb="FF063D65"/>
      <name val="Tahoma"/>
      <family val="2"/>
    </font>
    <font>
      <sz val="10"/>
      <color indexed="12"/>
      <name val="Tahoma"/>
      <family val="2"/>
    </font>
    <font>
      <sz val="10"/>
      <color theme="1" tint="0.14999847407452621"/>
      <name val="Tahoma"/>
      <family val="2"/>
    </font>
    <font>
      <b/>
      <sz val="10"/>
      <color rgb="FF063D65"/>
      <name val="Tahoma"/>
      <family val="2"/>
    </font>
    <font>
      <b/>
      <sz val="11"/>
      <color rgb="FF063D65"/>
      <name val="Tahoma"/>
      <family val="2"/>
    </font>
    <font>
      <vertAlign val="superscript"/>
      <sz val="10"/>
      <color theme="1" tint="0.14999847407452621"/>
      <name val="Tahoma"/>
      <family val="2"/>
    </font>
    <font>
      <sz val="11"/>
      <color theme="1" tint="0.14999847407452621"/>
      <name val="Aptos Narrow"/>
      <family val="2"/>
      <scheme val="minor"/>
    </font>
    <font>
      <sz val="10"/>
      <color indexed="61"/>
      <name val="Tahoma"/>
      <family val="2"/>
    </font>
    <font>
      <b/>
      <sz val="10"/>
      <color indexed="12"/>
      <name val="Tahoma"/>
      <family val="2"/>
    </font>
    <font>
      <sz val="9"/>
      <color theme="1" tint="0.14999847407452621"/>
      <name val="Tahoma"/>
      <family val="2"/>
    </font>
    <font>
      <b/>
      <sz val="10"/>
      <color indexed="61"/>
      <name val="Tahoma"/>
      <family val="2"/>
    </font>
    <font>
      <sz val="11"/>
      <color rgb="FF063D65"/>
      <name val="Tahoma"/>
      <family val="2"/>
    </font>
    <font>
      <b/>
      <sz val="11"/>
      <color indexed="12"/>
      <name val="Tahoma"/>
      <family val="2"/>
    </font>
    <font>
      <sz val="11"/>
      <color indexed="12"/>
      <name val="Tahoma"/>
      <family val="2"/>
    </font>
    <font>
      <b/>
      <sz val="8"/>
      <name val="Tahoma"/>
      <family val="2"/>
    </font>
    <font>
      <i/>
      <sz val="10"/>
      <color theme="1" tint="0.249977111117893"/>
      <name val="Arial"/>
      <family val="2"/>
    </font>
    <font>
      <i/>
      <vertAlign val="superscript"/>
      <sz val="10"/>
      <color theme="1" tint="0.249977111117893"/>
      <name val="Arial"/>
      <family val="2"/>
    </font>
    <font>
      <u/>
      <sz val="9"/>
      <color theme="10"/>
      <name val="Arial"/>
      <family val="2"/>
    </font>
    <font>
      <sz val="9"/>
      <name val="Arial"/>
      <family val="2"/>
    </font>
    <font>
      <sz val="11"/>
      <color theme="1" tint="0.249977111117893"/>
      <name val="Aptos Narrow"/>
      <family val="2"/>
      <scheme val="minor"/>
    </font>
    <font>
      <i/>
      <vertAlign val="superscript"/>
      <sz val="11"/>
      <color theme="1" tint="0.249977111117893"/>
      <name val="Aptos Narrow"/>
      <family val="2"/>
      <scheme val="minor"/>
    </font>
    <font>
      <i/>
      <sz val="11"/>
      <color theme="1" tint="0.249977111117893"/>
      <name val="Aptos Narrow"/>
      <family val="2"/>
      <scheme val="minor"/>
    </font>
    <font>
      <i/>
      <sz val="10"/>
      <color theme="1" tint="0.249977111117893"/>
      <name val="Aptos Narrow"/>
      <family val="2"/>
      <scheme val="minor"/>
    </font>
    <font>
      <sz val="10"/>
      <color theme="1" tint="0.249977111117893"/>
      <name val="Aptos Narrow"/>
      <family val="2"/>
      <scheme val="minor"/>
    </font>
    <font>
      <sz val="8"/>
      <name val="Tahoma"/>
      <family val="2"/>
    </font>
    <font>
      <sz val="10"/>
      <name val="Verdana"/>
      <family val="2"/>
    </font>
    <font>
      <b/>
      <sz val="14"/>
      <name val="Arial"/>
      <family val="2"/>
    </font>
    <font>
      <sz val="11"/>
      <name val="Verdana"/>
      <family val="2"/>
    </font>
    <font>
      <b/>
      <sz val="12"/>
      <name val="Arial"/>
      <family val="2"/>
    </font>
    <font>
      <sz val="12"/>
      <name val="Arial"/>
      <family val="2"/>
    </font>
    <font>
      <i/>
      <sz val="8"/>
      <color theme="1" tint="0.34998626667073579"/>
      <name val="Verdana"/>
      <family val="2"/>
    </font>
    <font>
      <sz val="10"/>
      <name val="Arial"/>
      <family val="2"/>
    </font>
    <font>
      <sz val="11"/>
      <name val="Arial"/>
      <family val="2"/>
    </font>
    <font>
      <b/>
      <sz val="14"/>
      <color theme="0"/>
      <name val="Arial"/>
      <family val="2"/>
    </font>
    <font>
      <b/>
      <sz val="12"/>
      <name val="Verdana"/>
      <family val="2"/>
    </font>
    <font>
      <b/>
      <sz val="14"/>
      <name val="Calibri"/>
      <family val="2"/>
    </font>
    <font>
      <b/>
      <sz val="10"/>
      <name val="Arial"/>
      <family val="2"/>
    </font>
    <font>
      <b/>
      <sz val="12"/>
      <color rgb="FFC00000"/>
      <name val="Verdana"/>
      <family val="2"/>
    </font>
    <font>
      <sz val="9"/>
      <name val="Verdana"/>
      <family val="2"/>
    </font>
    <font>
      <b/>
      <sz val="11"/>
      <name val="Arial"/>
      <family val="2"/>
    </font>
    <font>
      <sz val="8"/>
      <name val="Verdana"/>
      <family val="2"/>
    </font>
    <font>
      <i/>
      <u/>
      <sz val="8"/>
      <name val="Verdana"/>
      <family val="2"/>
    </font>
    <font>
      <i/>
      <sz val="10"/>
      <name val="Verdana"/>
      <family val="2"/>
    </font>
    <font>
      <b/>
      <sz val="10"/>
      <color rgb="FFC00000"/>
      <name val="Verdana"/>
      <family val="2"/>
    </font>
    <font>
      <b/>
      <sz val="8"/>
      <color indexed="81"/>
      <name val="Tahoma"/>
      <family val="2"/>
    </font>
    <font>
      <sz val="14"/>
      <name val="Arial"/>
      <family val="2"/>
    </font>
    <font>
      <sz val="8"/>
      <name val="Arial"/>
      <family val="2"/>
    </font>
    <font>
      <i/>
      <sz val="10"/>
      <name val="Arial"/>
      <family val="2"/>
    </font>
    <font>
      <vertAlign val="superscript"/>
      <sz val="8"/>
      <name val="Arial"/>
      <family val="2"/>
    </font>
    <font>
      <sz val="7"/>
      <color indexed="9"/>
      <name val="Verdana"/>
      <family val="2"/>
    </font>
    <font>
      <i/>
      <u/>
      <sz val="9"/>
      <name val="Verdana"/>
      <family val="2"/>
    </font>
  </fonts>
  <fills count="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E9422D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8">
    <xf numFmtId="0" fontId="0" fillId="0" borderId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/>
    <xf numFmtId="9" fontId="3" fillId="0" borderId="0" applyFont="0" applyFill="0" applyBorder="0" applyAlignment="0" applyProtection="0"/>
  </cellStyleXfs>
  <cellXfs count="315">
    <xf numFmtId="0" fontId="0" fillId="0" borderId="0" xfId="0"/>
    <xf numFmtId="0" fontId="3" fillId="0" borderId="0" xfId="6"/>
    <xf numFmtId="0" fontId="3" fillId="0" borderId="0" xfId="6" applyAlignment="1">
      <alignment horizontal="center"/>
    </xf>
    <xf numFmtId="3" fontId="3" fillId="0" borderId="0" xfId="6" applyNumberFormat="1"/>
    <xf numFmtId="164" fontId="3" fillId="0" borderId="0" xfId="6" applyNumberFormat="1"/>
    <xf numFmtId="165" fontId="3" fillId="0" borderId="0" xfId="1" applyFont="1"/>
    <xf numFmtId="0" fontId="4" fillId="0" borderId="0" xfId="6" applyFont="1"/>
    <xf numFmtId="166" fontId="3" fillId="0" borderId="0" xfId="6" applyNumberFormat="1"/>
    <xf numFmtId="0" fontId="6" fillId="0" borderId="0" xfId="6" applyFont="1"/>
    <xf numFmtId="0" fontId="4" fillId="0" borderId="0" xfId="6" applyFont="1" applyAlignment="1">
      <alignment horizontal="right" vertical="center" indent="1"/>
    </xf>
    <xf numFmtId="15" fontId="4" fillId="0" borderId="0" xfId="6" applyNumberFormat="1" applyFont="1" applyAlignment="1">
      <alignment horizontal="left"/>
    </xf>
    <xf numFmtId="165" fontId="3" fillId="0" borderId="0" xfId="1" applyFont="1" applyBorder="1"/>
    <xf numFmtId="0" fontId="8" fillId="0" borderId="0" xfId="6" applyFont="1" applyAlignment="1">
      <alignment horizontal="right" vertical="center" indent="1"/>
    </xf>
    <xf numFmtId="15" fontId="8" fillId="0" borderId="0" xfId="6" applyNumberFormat="1" applyFont="1" applyAlignment="1">
      <alignment horizontal="left"/>
    </xf>
    <xf numFmtId="0" fontId="9" fillId="0" borderId="0" xfId="6" applyFont="1"/>
    <xf numFmtId="0" fontId="10" fillId="0" borderId="0" xfId="6" applyFont="1"/>
    <xf numFmtId="0" fontId="11" fillId="0" borderId="1" xfId="6" applyFont="1" applyBorder="1" applyAlignment="1">
      <alignment horizontal="center" vertical="center"/>
    </xf>
    <xf numFmtId="0" fontId="11" fillId="0" borderId="1" xfId="6" applyFont="1" applyBorder="1" applyAlignment="1">
      <alignment horizontal="center" vertical="center" wrapText="1"/>
    </xf>
    <xf numFmtId="3" fontId="11" fillId="0" borderId="1" xfId="6" applyNumberFormat="1" applyFont="1" applyBorder="1" applyAlignment="1">
      <alignment horizontal="center" vertical="center" wrapText="1"/>
    </xf>
    <xf numFmtId="0" fontId="12" fillId="0" borderId="1" xfId="6" applyFont="1" applyBorder="1" applyAlignment="1">
      <alignment horizontal="center" vertical="center" wrapText="1"/>
    </xf>
    <xf numFmtId="0" fontId="12" fillId="0" borderId="1" xfId="6" applyFont="1" applyBorder="1" applyAlignment="1">
      <alignment horizontal="center" vertical="center"/>
    </xf>
    <xf numFmtId="0" fontId="3" fillId="0" borderId="2" xfId="6" applyBorder="1"/>
    <xf numFmtId="3" fontId="3" fillId="0" borderId="3" xfId="6" applyNumberFormat="1" applyBorder="1"/>
    <xf numFmtId="164" fontId="3" fillId="0" borderId="0" xfId="2" applyFont="1"/>
    <xf numFmtId="0" fontId="13" fillId="2" borderId="4" xfId="6" applyFont="1" applyFill="1" applyBorder="1"/>
    <xf numFmtId="0" fontId="14" fillId="2" borderId="4" xfId="6" applyFont="1" applyFill="1" applyBorder="1" applyAlignment="1">
      <alignment horizontal="center"/>
    </xf>
    <xf numFmtId="10" fontId="14" fillId="2" borderId="4" xfId="7" applyNumberFormat="1" applyFont="1" applyFill="1" applyBorder="1" applyAlignment="1">
      <alignment horizontal="right"/>
    </xf>
    <xf numFmtId="3" fontId="14" fillId="2" borderId="4" xfId="7" applyNumberFormat="1" applyFont="1" applyFill="1" applyBorder="1" applyAlignment="1">
      <alignment horizontal="right"/>
    </xf>
    <xf numFmtId="15" fontId="14" fillId="2" borderId="4" xfId="6" applyNumberFormat="1" applyFont="1" applyFill="1" applyBorder="1" applyAlignment="1">
      <alignment horizontal="center"/>
    </xf>
    <xf numFmtId="3" fontId="14" fillId="2" borderId="4" xfId="6" applyNumberFormat="1" applyFont="1" applyFill="1" applyBorder="1"/>
    <xf numFmtId="4" fontId="14" fillId="2" borderId="4" xfId="6" applyNumberFormat="1" applyFont="1" applyFill="1" applyBorder="1"/>
    <xf numFmtId="4" fontId="15" fillId="2" borderId="4" xfId="6" applyNumberFormat="1" applyFont="1" applyFill="1" applyBorder="1"/>
    <xf numFmtId="10" fontId="15" fillId="2" borderId="4" xfId="7" applyNumberFormat="1" applyFont="1" applyFill="1" applyBorder="1"/>
    <xf numFmtId="10" fontId="15" fillId="2" borderId="4" xfId="7" applyNumberFormat="1" applyFont="1" applyFill="1" applyBorder="1" applyAlignment="1">
      <alignment horizontal="center"/>
    </xf>
    <xf numFmtId="0" fontId="15" fillId="2" borderId="4" xfId="6" applyFont="1" applyFill="1" applyBorder="1" applyAlignment="1">
      <alignment horizontal="center"/>
    </xf>
    <xf numFmtId="0" fontId="3" fillId="0" borderId="5" xfId="6" applyBorder="1"/>
    <xf numFmtId="3" fontId="3" fillId="0" borderId="6" xfId="6" applyNumberFormat="1" applyBorder="1"/>
    <xf numFmtId="0" fontId="11" fillId="0" borderId="4" xfId="6" applyFont="1" applyBorder="1"/>
    <xf numFmtId="0" fontId="16" fillId="0" borderId="4" xfId="6" applyFont="1" applyBorder="1" applyAlignment="1">
      <alignment horizontal="center"/>
    </xf>
    <xf numFmtId="10" fontId="16" fillId="0" borderId="4" xfId="7" applyNumberFormat="1" applyFont="1" applyBorder="1" applyAlignment="1">
      <alignment horizontal="center"/>
    </xf>
    <xf numFmtId="3" fontId="16" fillId="0" borderId="4" xfId="7" applyNumberFormat="1" applyFont="1" applyBorder="1" applyAlignment="1">
      <alignment horizontal="right"/>
    </xf>
    <xf numFmtId="15" fontId="16" fillId="0" borderId="4" xfId="6" applyNumberFormat="1" applyFont="1" applyBorder="1" applyAlignment="1">
      <alignment horizontal="center"/>
    </xf>
    <xf numFmtId="3" fontId="16" fillId="0" borderId="4" xfId="6" applyNumberFormat="1" applyFont="1" applyBorder="1"/>
    <xf numFmtId="4" fontId="16" fillId="0" borderId="4" xfId="6" applyNumberFormat="1" applyFont="1" applyBorder="1"/>
    <xf numFmtId="10" fontId="3" fillId="0" borderId="4" xfId="7" applyNumberFormat="1" applyBorder="1"/>
    <xf numFmtId="10" fontId="3" fillId="0" borderId="4" xfId="7" applyNumberFormat="1" applyBorder="1" applyAlignment="1">
      <alignment horizontal="center"/>
    </xf>
    <xf numFmtId="0" fontId="3" fillId="0" borderId="4" xfId="6" applyBorder="1" applyAlignment="1">
      <alignment horizontal="center"/>
    </xf>
    <xf numFmtId="10" fontId="17" fillId="2" borderId="7" xfId="7" applyNumberFormat="1" applyFont="1" applyFill="1" applyBorder="1" applyAlignment="1">
      <alignment horizontal="center"/>
    </xf>
    <xf numFmtId="167" fontId="18" fillId="2" borderId="8" xfId="6" quotePrefix="1" applyNumberFormat="1" applyFont="1" applyFill="1" applyBorder="1" applyAlignment="1">
      <alignment horizontal="right"/>
    </xf>
    <xf numFmtId="0" fontId="16" fillId="0" borderId="4" xfId="6" applyFont="1" applyBorder="1"/>
    <xf numFmtId="10" fontId="16" fillId="0" borderId="4" xfId="7" applyNumberFormat="1" applyFont="1" applyFill="1" applyBorder="1" applyAlignment="1">
      <alignment horizontal="center"/>
    </xf>
    <xf numFmtId="169" fontId="16" fillId="0" borderId="4" xfId="3" applyNumberFormat="1" applyFont="1" applyFill="1" applyBorder="1" applyAlignment="1">
      <alignment horizontal="right"/>
    </xf>
    <xf numFmtId="169" fontId="16" fillId="0" borderId="4" xfId="3" applyNumberFormat="1" applyFont="1" applyFill="1" applyBorder="1"/>
    <xf numFmtId="10" fontId="3" fillId="0" borderId="4" xfId="7" applyNumberFormat="1" applyFill="1" applyBorder="1"/>
    <xf numFmtId="10" fontId="3" fillId="0" borderId="4" xfId="7" applyNumberFormat="1" applyFill="1" applyBorder="1" applyAlignment="1">
      <alignment horizontal="center"/>
    </xf>
    <xf numFmtId="3" fontId="3" fillId="0" borderId="4" xfId="6" applyNumberFormat="1" applyBorder="1" applyAlignment="1">
      <alignment horizontal="center"/>
    </xf>
    <xf numFmtId="10" fontId="17" fillId="0" borderId="5" xfId="7" applyNumberFormat="1" applyFont="1" applyFill="1" applyBorder="1" applyAlignment="1">
      <alignment horizontal="center"/>
    </xf>
    <xf numFmtId="167" fontId="18" fillId="0" borderId="9" xfId="6" quotePrefix="1" applyNumberFormat="1" applyFont="1" applyBorder="1" applyAlignment="1">
      <alignment horizontal="right"/>
    </xf>
    <xf numFmtId="4" fontId="3" fillId="0" borderId="0" xfId="6" applyNumberFormat="1"/>
    <xf numFmtId="2" fontId="3" fillId="0" borderId="0" xfId="6" applyNumberFormat="1"/>
    <xf numFmtId="170" fontId="16" fillId="0" borderId="4" xfId="3" applyNumberFormat="1" applyFont="1" applyFill="1" applyBorder="1" applyAlignment="1">
      <alignment horizontal="right"/>
    </xf>
    <xf numFmtId="167" fontId="16" fillId="0" borderId="4" xfId="6" applyNumberFormat="1" applyFont="1" applyBorder="1"/>
    <xf numFmtId="10" fontId="3" fillId="0" borderId="6" xfId="4" applyNumberFormat="1" applyFont="1" applyBorder="1"/>
    <xf numFmtId="169" fontId="16" fillId="0" borderId="4" xfId="3" applyNumberFormat="1" applyFont="1" applyBorder="1" applyAlignment="1">
      <alignment horizontal="right"/>
    </xf>
    <xf numFmtId="169" fontId="16" fillId="0" borderId="4" xfId="3" applyNumberFormat="1" applyFont="1" applyBorder="1"/>
    <xf numFmtId="0" fontId="3" fillId="0" borderId="10" xfId="6" applyBorder="1"/>
    <xf numFmtId="10" fontId="3" fillId="0" borderId="11" xfId="4" applyNumberFormat="1" applyFont="1" applyBorder="1"/>
    <xf numFmtId="0" fontId="11" fillId="0" borderId="12" xfId="6" applyFont="1" applyBorder="1"/>
    <xf numFmtId="0" fontId="11" fillId="0" borderId="12" xfId="6" applyFont="1" applyBorder="1" applyAlignment="1">
      <alignment horizontal="center"/>
    </xf>
    <xf numFmtId="10" fontId="16" fillId="0" borderId="12" xfId="7" applyNumberFormat="1" applyFont="1" applyBorder="1" applyAlignment="1">
      <alignment horizontal="center"/>
    </xf>
    <xf numFmtId="0" fontId="16" fillId="0" borderId="12" xfId="6" applyFont="1" applyBorder="1"/>
    <xf numFmtId="15" fontId="16" fillId="0" borderId="12" xfId="6" applyNumberFormat="1" applyFont="1" applyBorder="1" applyAlignment="1">
      <alignment horizontal="center"/>
    </xf>
    <xf numFmtId="3" fontId="11" fillId="0" borderId="12" xfId="6" applyNumberFormat="1" applyFont="1" applyBorder="1"/>
    <xf numFmtId="169" fontId="11" fillId="0" borderId="12" xfId="3" applyNumberFormat="1" applyFont="1" applyBorder="1"/>
    <xf numFmtId="4" fontId="11" fillId="0" borderId="12" xfId="6" applyNumberFormat="1" applyFont="1" applyBorder="1"/>
    <xf numFmtId="10" fontId="12" fillId="0" borderId="12" xfId="7" applyNumberFormat="1" applyFont="1" applyFill="1" applyBorder="1"/>
    <xf numFmtId="10" fontId="3" fillId="0" borderId="12" xfId="7" applyNumberFormat="1" applyFill="1" applyBorder="1" applyAlignment="1">
      <alignment horizontal="center"/>
    </xf>
    <xf numFmtId="0" fontId="3" fillId="0" borderId="12" xfId="6" applyBorder="1" applyAlignment="1">
      <alignment horizontal="center"/>
    </xf>
    <xf numFmtId="3" fontId="12" fillId="0" borderId="12" xfId="6" applyNumberFormat="1" applyFont="1" applyBorder="1" applyAlignment="1">
      <alignment horizontal="center"/>
    </xf>
    <xf numFmtId="10" fontId="12" fillId="0" borderId="12" xfId="7" applyNumberFormat="1" applyFont="1" applyBorder="1"/>
    <xf numFmtId="9" fontId="18" fillId="2" borderId="8" xfId="4" quotePrefix="1" applyFont="1" applyFill="1" applyBorder="1" applyAlignment="1">
      <alignment horizontal="right"/>
    </xf>
    <xf numFmtId="169" fontId="11" fillId="0" borderId="4" xfId="3" applyNumberFormat="1" applyFont="1" applyBorder="1"/>
    <xf numFmtId="4" fontId="11" fillId="0" borderId="4" xfId="6" applyNumberFormat="1" applyFont="1" applyBorder="1"/>
    <xf numFmtId="10" fontId="12" fillId="0" borderId="4" xfId="7" applyNumberFormat="1" applyFont="1" applyFill="1" applyBorder="1"/>
    <xf numFmtId="10" fontId="12" fillId="0" borderId="4" xfId="7" applyNumberFormat="1" applyFont="1" applyBorder="1"/>
    <xf numFmtId="171" fontId="16" fillId="0" borderId="4" xfId="3" applyNumberFormat="1" applyFont="1" applyFill="1" applyBorder="1"/>
    <xf numFmtId="10" fontId="3" fillId="0" borderId="0" xfId="4" applyNumberFormat="1" applyFont="1"/>
    <xf numFmtId="165" fontId="3" fillId="0" borderId="0" xfId="6" applyNumberFormat="1"/>
    <xf numFmtId="10" fontId="3" fillId="0" borderId="4" xfId="7" applyNumberFormat="1" applyFont="1" applyFill="1" applyBorder="1" applyAlignment="1">
      <alignment horizontal="center"/>
    </xf>
    <xf numFmtId="2" fontId="16" fillId="0" borderId="4" xfId="6" applyNumberFormat="1" applyFont="1" applyBorder="1"/>
    <xf numFmtId="10" fontId="3" fillId="0" borderId="4" xfId="4" applyNumberFormat="1" applyFont="1" applyBorder="1"/>
    <xf numFmtId="0" fontId="16" fillId="0" borderId="4" xfId="6" applyFont="1" applyBorder="1" applyAlignment="1">
      <alignment horizontal="left"/>
    </xf>
    <xf numFmtId="2" fontId="16" fillId="0" borderId="4" xfId="6" applyNumberFormat="1" applyFont="1" applyBorder="1" applyAlignment="1">
      <alignment horizontal="right"/>
    </xf>
    <xf numFmtId="10" fontId="3" fillId="0" borderId="4" xfId="4" applyNumberFormat="1" applyFont="1" applyBorder="1" applyAlignment="1">
      <alignment horizontal="right"/>
    </xf>
    <xf numFmtId="10" fontId="16" fillId="0" borderId="12" xfId="7" applyNumberFormat="1" applyFont="1" applyBorder="1" applyAlignment="1">
      <alignment horizontal="right"/>
    </xf>
    <xf numFmtId="169" fontId="11" fillId="0" borderId="12" xfId="3" applyNumberFormat="1" applyFont="1" applyFill="1" applyBorder="1"/>
    <xf numFmtId="172" fontId="3" fillId="0" borderId="0" xfId="6" applyNumberFormat="1"/>
    <xf numFmtId="10" fontId="16" fillId="0" borderId="4" xfId="7" applyNumberFormat="1" applyFont="1" applyBorder="1" applyAlignment="1">
      <alignment horizontal="right"/>
    </xf>
    <xf numFmtId="10" fontId="20" fillId="0" borderId="4" xfId="7" applyNumberFormat="1" applyFont="1" applyFill="1" applyBorder="1" applyAlignment="1">
      <alignment horizontal="center"/>
    </xf>
    <xf numFmtId="0" fontId="16" fillId="0" borderId="12" xfId="6" applyFont="1" applyBorder="1" applyAlignment="1">
      <alignment horizontal="right"/>
    </xf>
    <xf numFmtId="3" fontId="12" fillId="0" borderId="12" xfId="6" applyNumberFormat="1" applyFont="1" applyBorder="1" applyAlignment="1">
      <alignment horizontal="center" vertical="center"/>
    </xf>
    <xf numFmtId="0" fontId="16" fillId="0" borderId="0" xfId="6" applyFont="1"/>
    <xf numFmtId="169" fontId="16" fillId="0" borderId="0" xfId="3" applyNumberFormat="1" applyFont="1" applyFill="1"/>
    <xf numFmtId="0" fontId="16" fillId="0" borderId="0" xfId="6" applyFont="1" applyAlignment="1">
      <alignment horizontal="center"/>
    </xf>
    <xf numFmtId="10" fontId="16" fillId="0" borderId="4" xfId="7" applyNumberFormat="1" applyFont="1" applyFill="1" applyBorder="1" applyAlignment="1">
      <alignment horizontal="right"/>
    </xf>
    <xf numFmtId="0" fontId="16" fillId="0" borderId="0" xfId="6" applyFont="1" applyAlignment="1">
      <alignment horizontal="center" vertical="center"/>
    </xf>
    <xf numFmtId="10" fontId="16" fillId="0" borderId="4" xfId="7" applyNumberFormat="1" applyFont="1" applyFill="1" applyBorder="1" applyAlignment="1">
      <alignment horizontal="center" vertical="center" wrapText="1"/>
    </xf>
    <xf numFmtId="169" fontId="11" fillId="0" borderId="4" xfId="3" applyNumberFormat="1" applyFont="1" applyFill="1" applyBorder="1" applyAlignment="1">
      <alignment horizontal="right"/>
    </xf>
    <xf numFmtId="0" fontId="11" fillId="0" borderId="13" xfId="6" applyFont="1" applyBorder="1"/>
    <xf numFmtId="0" fontId="11" fillId="0" borderId="13" xfId="6" applyFont="1" applyBorder="1" applyAlignment="1">
      <alignment horizontal="center"/>
    </xf>
    <xf numFmtId="0" fontId="16" fillId="0" borderId="13" xfId="6" applyFont="1" applyBorder="1" applyAlignment="1">
      <alignment horizontal="right"/>
    </xf>
    <xf numFmtId="173" fontId="11" fillId="0" borderId="13" xfId="3" applyNumberFormat="1" applyFont="1" applyFill="1" applyBorder="1"/>
    <xf numFmtId="15" fontId="16" fillId="0" borderId="13" xfId="6" applyNumberFormat="1" applyFont="1" applyBorder="1" applyAlignment="1">
      <alignment horizontal="center"/>
    </xf>
    <xf numFmtId="3" fontId="11" fillId="0" borderId="13" xfId="6" applyNumberFormat="1" applyFont="1" applyBorder="1"/>
    <xf numFmtId="169" fontId="11" fillId="0" borderId="13" xfId="3" applyNumberFormat="1" applyFont="1" applyFill="1" applyBorder="1"/>
    <xf numFmtId="4" fontId="11" fillId="0" borderId="13" xfId="6" applyNumberFormat="1" applyFont="1" applyBorder="1"/>
    <xf numFmtId="10" fontId="12" fillId="0" borderId="13" xfId="7" applyNumberFormat="1" applyFont="1" applyFill="1" applyBorder="1"/>
    <xf numFmtId="10" fontId="3" fillId="0" borderId="13" xfId="7" applyNumberFormat="1" applyFill="1" applyBorder="1" applyAlignment="1">
      <alignment horizontal="center"/>
    </xf>
    <xf numFmtId="0" fontId="3" fillId="0" borderId="13" xfId="6" applyBorder="1" applyAlignment="1">
      <alignment horizontal="center"/>
    </xf>
    <xf numFmtId="3" fontId="12" fillId="0" borderId="13" xfId="6" applyNumberFormat="1" applyFont="1" applyBorder="1" applyAlignment="1">
      <alignment horizontal="center"/>
    </xf>
    <xf numFmtId="10" fontId="12" fillId="0" borderId="13" xfId="7" applyNumberFormat="1" applyFont="1" applyBorder="1"/>
    <xf numFmtId="10" fontId="16" fillId="0" borderId="0" xfId="6" applyNumberFormat="1" applyFont="1" applyAlignment="1">
      <alignment horizontal="center" vertical="center"/>
    </xf>
    <xf numFmtId="3" fontId="11" fillId="0" borderId="4" xfId="7" applyNumberFormat="1" applyFont="1" applyFill="1" applyBorder="1" applyAlignment="1">
      <alignment horizontal="right"/>
    </xf>
    <xf numFmtId="10" fontId="21" fillId="0" borderId="4" xfId="7" applyNumberFormat="1" applyFont="1" applyBorder="1"/>
    <xf numFmtId="0" fontId="17" fillId="2" borderId="12" xfId="6" applyFont="1" applyFill="1" applyBorder="1"/>
    <xf numFmtId="0" fontId="14" fillId="2" borderId="12" xfId="6" applyFont="1" applyFill="1" applyBorder="1" applyAlignment="1">
      <alignment horizontal="center"/>
    </xf>
    <xf numFmtId="0" fontId="14" fillId="2" borderId="12" xfId="6" applyFont="1" applyFill="1" applyBorder="1" applyAlignment="1">
      <alignment horizontal="right"/>
    </xf>
    <xf numFmtId="169" fontId="17" fillId="2" borderId="12" xfId="3" applyNumberFormat="1" applyFont="1" applyFill="1" applyBorder="1" applyAlignment="1">
      <alignment horizontal="right"/>
    </xf>
    <xf numFmtId="15" fontId="14" fillId="2" borderId="12" xfId="6" applyNumberFormat="1" applyFont="1" applyFill="1" applyBorder="1" applyAlignment="1">
      <alignment horizontal="center"/>
    </xf>
    <xf numFmtId="3" fontId="17" fillId="2" borderId="12" xfId="7" applyNumberFormat="1" applyFont="1" applyFill="1" applyBorder="1" applyAlignment="1">
      <alignment horizontal="right"/>
    </xf>
    <xf numFmtId="169" fontId="17" fillId="3" borderId="12" xfId="3" applyNumberFormat="1" applyFont="1" applyFill="1" applyBorder="1" applyAlignment="1">
      <alignment horizontal="right"/>
    </xf>
    <xf numFmtId="4" fontId="17" fillId="3" borderId="12" xfId="6" applyNumberFormat="1" applyFont="1" applyFill="1" applyBorder="1"/>
    <xf numFmtId="10" fontId="17" fillId="3" borderId="12" xfId="7" quotePrefix="1" applyNumberFormat="1" applyFont="1" applyFill="1" applyBorder="1" applyAlignment="1">
      <alignment horizontal="right"/>
    </xf>
    <xf numFmtId="10" fontId="17" fillId="3" borderId="12" xfId="7" applyNumberFormat="1" applyFont="1" applyFill="1" applyBorder="1"/>
    <xf numFmtId="10" fontId="15" fillId="3" borderId="12" xfId="7" applyNumberFormat="1" applyFont="1" applyFill="1" applyBorder="1" applyAlignment="1">
      <alignment horizontal="center"/>
    </xf>
    <xf numFmtId="0" fontId="15" fillId="3" borderId="12" xfId="6" applyFont="1" applyFill="1" applyBorder="1" applyAlignment="1">
      <alignment horizontal="center"/>
    </xf>
    <xf numFmtId="10" fontId="22" fillId="2" borderId="12" xfId="7" applyNumberFormat="1" applyFont="1" applyFill="1" applyBorder="1"/>
    <xf numFmtId="0" fontId="22" fillId="2" borderId="4" xfId="6" applyFont="1" applyFill="1" applyBorder="1"/>
    <xf numFmtId="0" fontId="15" fillId="2" borderId="4" xfId="6" applyFont="1" applyFill="1" applyBorder="1" applyAlignment="1">
      <alignment horizontal="right"/>
    </xf>
    <xf numFmtId="169" fontId="15" fillId="2" borderId="4" xfId="3" applyNumberFormat="1" applyFont="1" applyFill="1" applyBorder="1" applyAlignment="1">
      <alignment horizontal="right"/>
    </xf>
    <xf numFmtId="15" fontId="15" fillId="2" borderId="4" xfId="6" applyNumberFormat="1" applyFont="1" applyFill="1" applyBorder="1" applyAlignment="1">
      <alignment horizontal="center"/>
    </xf>
    <xf numFmtId="0" fontId="15" fillId="2" borderId="4" xfId="6" applyFont="1" applyFill="1" applyBorder="1"/>
    <xf numFmtId="3" fontId="15" fillId="2" borderId="4" xfId="6" applyNumberFormat="1" applyFont="1" applyFill="1" applyBorder="1"/>
    <xf numFmtId="169" fontId="15" fillId="4" borderId="4" xfId="3" applyNumberFormat="1" applyFont="1" applyFill="1" applyBorder="1"/>
    <xf numFmtId="4" fontId="15" fillId="4" borderId="4" xfId="6" applyNumberFormat="1" applyFont="1" applyFill="1" applyBorder="1"/>
    <xf numFmtId="10" fontId="15" fillId="4" borderId="4" xfId="7" applyNumberFormat="1" applyFont="1" applyFill="1" applyBorder="1"/>
    <xf numFmtId="10" fontId="15" fillId="4" borderId="4" xfId="7" applyNumberFormat="1" applyFont="1" applyFill="1" applyBorder="1" applyAlignment="1">
      <alignment horizontal="center"/>
    </xf>
    <xf numFmtId="0" fontId="15" fillId="4" borderId="4" xfId="6" applyFont="1" applyFill="1" applyBorder="1" applyAlignment="1">
      <alignment horizontal="center"/>
    </xf>
    <xf numFmtId="0" fontId="12" fillId="0" borderId="4" xfId="6" applyFont="1" applyBorder="1"/>
    <xf numFmtId="0" fontId="3" fillId="0" borderId="4" xfId="6" applyBorder="1" applyAlignment="1">
      <alignment horizontal="right"/>
    </xf>
    <xf numFmtId="169" fontId="3" fillId="0" borderId="4" xfId="3" applyNumberFormat="1" applyFont="1" applyBorder="1" applyAlignment="1">
      <alignment horizontal="right"/>
    </xf>
    <xf numFmtId="15" fontId="3" fillId="0" borderId="4" xfId="6" applyNumberFormat="1" applyBorder="1" applyAlignment="1">
      <alignment horizontal="center"/>
    </xf>
    <xf numFmtId="0" fontId="3" fillId="0" borderId="4" xfId="6" applyBorder="1"/>
    <xf numFmtId="3" fontId="3" fillId="0" borderId="4" xfId="6" applyNumberFormat="1" applyBorder="1"/>
    <xf numFmtId="169" fontId="3" fillId="4" borderId="4" xfId="3" applyNumberFormat="1" applyFont="1" applyFill="1" applyBorder="1"/>
    <xf numFmtId="4" fontId="3" fillId="4" borderId="4" xfId="6" applyNumberFormat="1" applyFill="1" applyBorder="1"/>
    <xf numFmtId="10" fontId="3" fillId="4" borderId="4" xfId="7" applyNumberFormat="1" applyFill="1" applyBorder="1"/>
    <xf numFmtId="10" fontId="3" fillId="4" borderId="4" xfId="7" applyNumberFormat="1" applyFill="1" applyBorder="1" applyAlignment="1">
      <alignment horizontal="center"/>
    </xf>
    <xf numFmtId="0" fontId="3" fillId="4" borderId="4" xfId="6" applyFill="1" applyBorder="1" applyAlignment="1">
      <alignment horizontal="center"/>
    </xf>
    <xf numFmtId="0" fontId="12" fillId="0" borderId="12" xfId="6" applyFont="1" applyBorder="1"/>
    <xf numFmtId="0" fontId="12" fillId="0" borderId="12" xfId="6" applyFont="1" applyBorder="1" applyAlignment="1">
      <alignment horizontal="center"/>
    </xf>
    <xf numFmtId="10" fontId="3" fillId="0" borderId="12" xfId="7" applyNumberFormat="1" applyBorder="1" applyAlignment="1">
      <alignment horizontal="right"/>
    </xf>
    <xf numFmtId="169" fontId="12" fillId="0" borderId="12" xfId="3" applyNumberFormat="1" applyFont="1" applyBorder="1" applyAlignment="1">
      <alignment horizontal="right"/>
    </xf>
    <xf numFmtId="15" fontId="3" fillId="0" borderId="12" xfId="6" applyNumberFormat="1" applyBorder="1" applyAlignment="1">
      <alignment horizontal="center"/>
    </xf>
    <xf numFmtId="3" fontId="12" fillId="0" borderId="12" xfId="7" applyNumberFormat="1" applyFont="1" applyBorder="1" applyAlignment="1">
      <alignment horizontal="right"/>
    </xf>
    <xf numFmtId="169" fontId="12" fillId="4" borderId="12" xfId="3" applyNumberFormat="1" applyFont="1" applyFill="1" applyBorder="1" applyAlignment="1">
      <alignment horizontal="right"/>
    </xf>
    <xf numFmtId="4" fontId="12" fillId="4" borderId="12" xfId="6" applyNumberFormat="1" applyFont="1" applyFill="1" applyBorder="1"/>
    <xf numFmtId="10" fontId="12" fillId="4" borderId="12" xfId="7" applyNumberFormat="1" applyFont="1" applyFill="1" applyBorder="1" applyAlignment="1">
      <alignment horizontal="right"/>
    </xf>
    <xf numFmtId="10" fontId="3" fillId="4" borderId="12" xfId="7" applyNumberFormat="1" applyFill="1" applyBorder="1"/>
    <xf numFmtId="0" fontId="3" fillId="4" borderId="12" xfId="6" applyFill="1" applyBorder="1" applyAlignment="1">
      <alignment horizontal="center"/>
    </xf>
    <xf numFmtId="3" fontId="16" fillId="0" borderId="4" xfId="7" applyNumberFormat="1" applyFont="1" applyFill="1" applyBorder="1" applyAlignment="1">
      <alignment horizontal="right"/>
    </xf>
    <xf numFmtId="4" fontId="16" fillId="0" borderId="4" xfId="7" applyNumberFormat="1" applyFont="1" applyFill="1" applyBorder="1" applyAlignment="1">
      <alignment horizontal="right"/>
    </xf>
    <xf numFmtId="10" fontId="23" fillId="0" borderId="4" xfId="7" applyNumberFormat="1" applyFont="1" applyFill="1" applyBorder="1" applyAlignment="1">
      <alignment horizontal="center"/>
    </xf>
    <xf numFmtId="170" fontId="11" fillId="0" borderId="12" xfId="3" applyNumberFormat="1" applyFont="1" applyFill="1" applyBorder="1" applyAlignment="1">
      <alignment horizontal="right"/>
    </xf>
    <xf numFmtId="3" fontId="11" fillId="0" borderId="12" xfId="7" applyNumberFormat="1" applyFont="1" applyBorder="1" applyAlignment="1">
      <alignment horizontal="right"/>
    </xf>
    <xf numFmtId="169" fontId="11" fillId="0" borderId="12" xfId="3" applyNumberFormat="1" applyFont="1" applyFill="1" applyBorder="1" applyAlignment="1">
      <alignment horizontal="right"/>
    </xf>
    <xf numFmtId="10" fontId="3" fillId="0" borderId="12" xfId="7" applyNumberFormat="1" applyFill="1" applyBorder="1"/>
    <xf numFmtId="169" fontId="11" fillId="0" borderId="12" xfId="3" applyNumberFormat="1" applyFont="1" applyBorder="1" applyAlignment="1">
      <alignment horizontal="right"/>
    </xf>
    <xf numFmtId="4" fontId="11" fillId="0" borderId="12" xfId="7" applyNumberFormat="1" applyFont="1" applyBorder="1" applyAlignment="1">
      <alignment horizontal="right"/>
    </xf>
    <xf numFmtId="10" fontId="3" fillId="0" borderId="12" xfId="7" applyNumberFormat="1" applyBorder="1"/>
    <xf numFmtId="169" fontId="3" fillId="0" borderId="4" xfId="3" applyNumberFormat="1" applyFont="1" applyBorder="1"/>
    <xf numFmtId="4" fontId="3" fillId="0" borderId="4" xfId="6" applyNumberFormat="1" applyBorder="1"/>
    <xf numFmtId="10" fontId="12" fillId="0" borderId="12" xfId="7" applyNumberFormat="1" applyFont="1" applyBorder="1" applyAlignment="1">
      <alignment horizontal="center"/>
    </xf>
    <xf numFmtId="4" fontId="12" fillId="0" borderId="12" xfId="7" applyNumberFormat="1" applyFont="1" applyBorder="1" applyAlignment="1">
      <alignment horizontal="right"/>
    </xf>
    <xf numFmtId="3" fontId="12" fillId="0" borderId="12" xfId="7" applyNumberFormat="1" applyFont="1" applyBorder="1" applyAlignment="1">
      <alignment horizontal="center" vertical="center"/>
    </xf>
    <xf numFmtId="0" fontId="17" fillId="2" borderId="1" xfId="6" applyFont="1" applyFill="1" applyBorder="1"/>
    <xf numFmtId="0" fontId="14" fillId="2" borderId="1" xfId="6" applyFont="1" applyFill="1" applyBorder="1" applyAlignment="1">
      <alignment horizontal="center"/>
    </xf>
    <xf numFmtId="10" fontId="14" fillId="2" borderId="1" xfId="7" applyNumberFormat="1" applyFont="1" applyFill="1" applyBorder="1" applyAlignment="1">
      <alignment horizontal="center"/>
    </xf>
    <xf numFmtId="170" fontId="17" fillId="2" borderId="1" xfId="3" applyNumberFormat="1" applyFont="1" applyFill="1" applyBorder="1" applyAlignment="1">
      <alignment horizontal="right"/>
    </xf>
    <xf numFmtId="15" fontId="14" fillId="2" borderId="1" xfId="6" applyNumberFormat="1" applyFont="1" applyFill="1" applyBorder="1" applyAlignment="1">
      <alignment horizontal="center"/>
    </xf>
    <xf numFmtId="3" fontId="17" fillId="2" borderId="1" xfId="7" applyNumberFormat="1" applyFont="1" applyFill="1" applyBorder="1" applyAlignment="1">
      <alignment horizontal="right"/>
    </xf>
    <xf numFmtId="169" fontId="17" fillId="2" borderId="1" xfId="3" applyNumberFormat="1" applyFont="1" applyFill="1" applyBorder="1" applyAlignment="1">
      <alignment horizontal="right"/>
    </xf>
    <xf numFmtId="4" fontId="17" fillId="3" borderId="1" xfId="6" applyNumberFormat="1" applyFont="1" applyFill="1" applyBorder="1"/>
    <xf numFmtId="10" fontId="14" fillId="2" borderId="1" xfId="7" applyNumberFormat="1" applyFont="1" applyFill="1" applyBorder="1"/>
    <xf numFmtId="10" fontId="17" fillId="2" borderId="1" xfId="7" applyNumberFormat="1" applyFont="1" applyFill="1" applyBorder="1"/>
    <xf numFmtId="10" fontId="15" fillId="2" borderId="1" xfId="7" applyNumberFormat="1" applyFont="1" applyFill="1" applyBorder="1"/>
    <xf numFmtId="0" fontId="15" fillId="2" borderId="1" xfId="6" applyFont="1" applyFill="1" applyBorder="1" applyAlignment="1">
      <alignment horizontal="center"/>
    </xf>
    <xf numFmtId="3" fontId="17" fillId="2" borderId="1" xfId="7" applyNumberFormat="1" applyFont="1" applyFill="1" applyBorder="1" applyAlignment="1">
      <alignment horizontal="center"/>
    </xf>
    <xf numFmtId="10" fontId="22" fillId="2" borderId="1" xfId="7" applyNumberFormat="1" applyFont="1" applyFill="1" applyBorder="1"/>
    <xf numFmtId="169" fontId="11" fillId="0" borderId="4" xfId="3" applyNumberFormat="1" applyFont="1" applyBorder="1" applyAlignment="1">
      <alignment horizontal="right"/>
    </xf>
    <xf numFmtId="3" fontId="11" fillId="0" borderId="4" xfId="7" applyNumberFormat="1" applyFont="1" applyBorder="1" applyAlignment="1">
      <alignment horizontal="right"/>
    </xf>
    <xf numFmtId="10" fontId="24" fillId="0" borderId="4" xfId="7" applyNumberFormat="1" applyFont="1" applyBorder="1"/>
    <xf numFmtId="0" fontId="21" fillId="0" borderId="4" xfId="6" applyFont="1" applyBorder="1" applyAlignment="1">
      <alignment horizontal="center"/>
    </xf>
    <xf numFmtId="2" fontId="11" fillId="0" borderId="4" xfId="3" applyNumberFormat="1" applyFont="1" applyBorder="1" applyAlignment="1">
      <alignment horizontal="right"/>
    </xf>
    <xf numFmtId="3" fontId="12" fillId="0" borderId="4" xfId="7" applyNumberFormat="1" applyFont="1" applyBorder="1" applyAlignment="1">
      <alignment horizontal="center" vertical="center"/>
    </xf>
    <xf numFmtId="10" fontId="3" fillId="0" borderId="0" xfId="6" applyNumberFormat="1"/>
    <xf numFmtId="10" fontId="14" fillId="2" borderId="1" xfId="7" applyNumberFormat="1" applyFont="1" applyFill="1" applyBorder="1" applyAlignment="1">
      <alignment horizontal="right"/>
    </xf>
    <xf numFmtId="0" fontId="18" fillId="2" borderId="13" xfId="6" applyFont="1" applyFill="1" applyBorder="1"/>
    <xf numFmtId="0" fontId="18" fillId="2" borderId="13" xfId="6" applyFont="1" applyFill="1" applyBorder="1" applyAlignment="1">
      <alignment horizontal="center"/>
    </xf>
    <xf numFmtId="0" fontId="25" fillId="2" borderId="14" xfId="6" quotePrefix="1" applyFont="1" applyFill="1" applyBorder="1" applyAlignment="1">
      <alignment horizontal="center"/>
    </xf>
    <xf numFmtId="0" fontId="25" fillId="2" borderId="15" xfId="6" quotePrefix="1" applyFont="1" applyFill="1" applyBorder="1" applyAlignment="1">
      <alignment horizontal="center"/>
    </xf>
    <xf numFmtId="0" fontId="18" fillId="2" borderId="16" xfId="6" applyFont="1" applyFill="1" applyBorder="1" applyAlignment="1">
      <alignment horizontal="center"/>
    </xf>
    <xf numFmtId="3" fontId="18" fillId="2" borderId="1" xfId="6" applyNumberFormat="1" applyFont="1" applyFill="1" applyBorder="1"/>
    <xf numFmtId="169" fontId="18" fillId="2" borderId="1" xfId="3" applyNumberFormat="1" applyFont="1" applyFill="1" applyBorder="1"/>
    <xf numFmtId="4" fontId="18" fillId="2" borderId="1" xfId="7" applyNumberFormat="1" applyFont="1" applyFill="1" applyBorder="1"/>
    <xf numFmtId="10" fontId="18" fillId="2" borderId="1" xfId="6" applyNumberFormat="1" applyFont="1" applyFill="1" applyBorder="1"/>
    <xf numFmtId="10" fontId="18" fillId="2" borderId="1" xfId="7" applyNumberFormat="1" applyFont="1" applyFill="1" applyBorder="1"/>
    <xf numFmtId="3" fontId="26" fillId="2" borderId="1" xfId="6" applyNumberFormat="1" applyFont="1" applyFill="1" applyBorder="1"/>
    <xf numFmtId="0" fontId="27" fillId="2" borderId="1" xfId="6" quotePrefix="1" applyFont="1" applyFill="1" applyBorder="1" applyAlignment="1">
      <alignment horizontal="center"/>
    </xf>
    <xf numFmtId="3" fontId="18" fillId="2" borderId="1" xfId="6" quotePrefix="1" applyNumberFormat="1" applyFont="1" applyFill="1" applyBorder="1" applyAlignment="1">
      <alignment horizontal="center"/>
    </xf>
    <xf numFmtId="169" fontId="3" fillId="0" borderId="0" xfId="6" applyNumberFormat="1"/>
    <xf numFmtId="0" fontId="28" fillId="5" borderId="17" xfId="6" applyFont="1" applyFill="1" applyBorder="1"/>
    <xf numFmtId="174" fontId="28" fillId="5" borderId="18" xfId="3" applyNumberFormat="1" applyFont="1" applyFill="1" applyBorder="1"/>
    <xf numFmtId="0" fontId="28" fillId="0" borderId="19" xfId="6" applyFont="1" applyBorder="1"/>
    <xf numFmtId="175" fontId="28" fillId="0" borderId="20" xfId="3" applyNumberFormat="1" applyFont="1" applyBorder="1"/>
    <xf numFmtId="0" fontId="29" fillId="0" borderId="21" xfId="6" applyFont="1" applyBorder="1"/>
    <xf numFmtId="0" fontId="29" fillId="0" borderId="21" xfId="6" applyFont="1" applyBorder="1" applyAlignment="1">
      <alignment horizontal="center"/>
    </xf>
    <xf numFmtId="3" fontId="29" fillId="0" borderId="21" xfId="6" applyNumberFormat="1" applyFont="1" applyBorder="1"/>
    <xf numFmtId="4" fontId="29" fillId="0" borderId="21" xfId="6" applyNumberFormat="1" applyFont="1" applyBorder="1"/>
    <xf numFmtId="0" fontId="28" fillId="5" borderId="22" xfId="6" applyFont="1" applyFill="1" applyBorder="1"/>
    <xf numFmtId="175" fontId="28" fillId="5" borderId="23" xfId="3" applyNumberFormat="1" applyFont="1" applyFill="1" applyBorder="1"/>
    <xf numFmtId="2" fontId="29" fillId="0" borderId="21" xfId="6" applyNumberFormat="1" applyFont="1" applyBorder="1"/>
    <xf numFmtId="0" fontId="31" fillId="0" borderId="0" xfId="5" applyFont="1" applyAlignment="1">
      <alignment horizontal="center" vertical="center"/>
    </xf>
    <xf numFmtId="0" fontId="32" fillId="0" borderId="0" xfId="6" applyFont="1" applyAlignment="1">
      <alignment horizontal="center" vertical="center"/>
    </xf>
    <xf numFmtId="3" fontId="29" fillId="0" borderId="21" xfId="6" applyNumberFormat="1" applyFont="1" applyBorder="1" applyAlignment="1">
      <alignment horizontal="left" wrapText="1"/>
    </xf>
    <xf numFmtId="3" fontId="3" fillId="0" borderId="0" xfId="6" applyNumberFormat="1" applyAlignment="1">
      <alignment horizontal="left" wrapText="1"/>
    </xf>
    <xf numFmtId="3" fontId="30" fillId="0" borderId="15" xfId="6" applyNumberFormat="1" applyFont="1" applyBorder="1" applyAlignment="1">
      <alignment horizontal="left" wrapText="1"/>
    </xf>
    <xf numFmtId="0" fontId="31" fillId="0" borderId="0" xfId="5" applyFont="1" applyAlignment="1">
      <alignment horizontal="center"/>
    </xf>
    <xf numFmtId="0" fontId="33" fillId="0" borderId="24" xfId="0" applyFont="1" applyBorder="1" applyAlignment="1">
      <alignment horizontal="left" wrapText="1"/>
    </xf>
    <xf numFmtId="0" fontId="0" fillId="0" borderId="24" xfId="0" applyBorder="1" applyAlignment="1">
      <alignment horizontal="left" wrapText="1"/>
    </xf>
    <xf numFmtId="0" fontId="32" fillId="0" borderId="0" xfId="6" applyFont="1" applyAlignment="1">
      <alignment horizontal="center"/>
    </xf>
    <xf numFmtId="0" fontId="38" fillId="0" borderId="0" xfId="6" applyFont="1"/>
    <xf numFmtId="176" fontId="3" fillId="0" borderId="0" xfId="4" applyNumberFormat="1" applyFont="1"/>
    <xf numFmtId="3" fontId="3" fillId="0" borderId="0" xfId="1" applyNumberFormat="1" applyFont="1"/>
    <xf numFmtId="0" fontId="39" fillId="0" borderId="0" xfId="6" applyFont="1"/>
    <xf numFmtId="165" fontId="39" fillId="0" borderId="0" xfId="1" applyFont="1"/>
    <xf numFmtId="177" fontId="39" fillId="0" borderId="0" xfId="1" applyNumberFormat="1" applyFont="1"/>
    <xf numFmtId="178" fontId="39" fillId="0" borderId="0" xfId="1" applyNumberFormat="1" applyFont="1"/>
    <xf numFmtId="179" fontId="0" fillId="0" borderId="0" xfId="1" applyNumberFormat="1" applyFont="1" applyAlignment="1">
      <alignment horizontal="left" vertical="center"/>
    </xf>
    <xf numFmtId="0" fontId="40" fillId="0" borderId="0" xfId="6" applyFont="1"/>
    <xf numFmtId="0" fontId="41" fillId="0" borderId="0" xfId="6" applyFont="1"/>
    <xf numFmtId="3" fontId="42" fillId="6" borderId="0" xfId="0" applyNumberFormat="1" applyFont="1" applyFill="1" applyAlignment="1">
      <alignment horizontal="right" vertical="center" wrapText="1"/>
    </xf>
    <xf numFmtId="15" fontId="43" fillId="0" borderId="0" xfId="6" applyNumberFormat="1" applyFont="1" applyAlignment="1">
      <alignment horizontal="left"/>
    </xf>
    <xf numFmtId="180" fontId="39" fillId="0" borderId="0" xfId="6" applyNumberFormat="1" applyFont="1"/>
    <xf numFmtId="0" fontId="44" fillId="0" borderId="0" xfId="6" applyFont="1" applyAlignment="1">
      <alignment horizontal="left"/>
    </xf>
    <xf numFmtId="181" fontId="45" fillId="0" borderId="0" xfId="6" applyNumberFormat="1" applyFont="1"/>
    <xf numFmtId="181" fontId="40" fillId="0" borderId="0" xfId="6" applyNumberFormat="1" applyFont="1"/>
    <xf numFmtId="182" fontId="46" fillId="0" borderId="0" xfId="6" applyNumberFormat="1" applyFont="1" applyAlignment="1">
      <alignment horizontal="center" vertical="center"/>
    </xf>
    <xf numFmtId="178" fontId="39" fillId="0" borderId="0" xfId="1" applyNumberFormat="1" applyFont="1" applyAlignment="1">
      <alignment horizontal="center"/>
    </xf>
    <xf numFmtId="0" fontId="47" fillId="7" borderId="14" xfId="6" applyFont="1" applyFill="1" applyBorder="1"/>
    <xf numFmtId="180" fontId="47" fillId="7" borderId="1" xfId="3" applyNumberFormat="1" applyFont="1" applyFill="1" applyBorder="1" applyAlignment="1">
      <alignment horizontal="center" vertical="center"/>
    </xf>
    <xf numFmtId="4" fontId="39" fillId="0" borderId="0" xfId="6" applyNumberFormat="1" applyFont="1"/>
    <xf numFmtId="0" fontId="48" fillId="0" borderId="0" xfId="6" applyFont="1"/>
    <xf numFmtId="3" fontId="48" fillId="0" borderId="0" xfId="6" applyNumberFormat="1" applyFont="1" applyAlignment="1">
      <alignment horizontal="center" vertical="center"/>
    </xf>
    <xf numFmtId="0" fontId="40" fillId="0" borderId="1" xfId="6" applyFont="1" applyBorder="1"/>
    <xf numFmtId="180" fontId="40" fillId="0" borderId="1" xfId="3" applyNumberFormat="1" applyFont="1" applyBorder="1" applyAlignment="1">
      <alignment horizontal="center" vertical="center"/>
    </xf>
    <xf numFmtId="174" fontId="40" fillId="0" borderId="1" xfId="2" applyNumberFormat="1" applyFont="1" applyBorder="1" applyAlignment="1">
      <alignment horizontal="center" vertical="center"/>
    </xf>
    <xf numFmtId="0" fontId="40" fillId="0" borderId="15" xfId="6" applyFont="1" applyBorder="1" applyAlignment="1">
      <alignment horizontal="center"/>
    </xf>
    <xf numFmtId="0" fontId="40" fillId="0" borderId="25" xfId="6" applyFont="1" applyBorder="1"/>
    <xf numFmtId="4" fontId="40" fillId="0" borderId="16" xfId="6" applyNumberFormat="1" applyFont="1" applyBorder="1" applyAlignment="1">
      <alignment horizontal="center" vertical="center"/>
    </xf>
    <xf numFmtId="165" fontId="39" fillId="0" borderId="0" xfId="6" applyNumberFormat="1" applyFont="1"/>
    <xf numFmtId="0" fontId="40" fillId="0" borderId="14" xfId="6" applyFont="1" applyBorder="1"/>
    <xf numFmtId="0" fontId="40" fillId="0" borderId="12" xfId="6" applyFont="1" applyBorder="1"/>
    <xf numFmtId="4" fontId="40" fillId="0" borderId="1" xfId="6" applyNumberFormat="1" applyFont="1" applyBorder="1" applyAlignment="1">
      <alignment horizontal="center" vertical="center"/>
    </xf>
    <xf numFmtId="0" fontId="50" fillId="0" borderId="21" xfId="6" applyFont="1" applyBorder="1" applyAlignment="1">
      <alignment horizontal="left"/>
    </xf>
    <xf numFmtId="175" fontId="50" fillId="0" borderId="21" xfId="6" applyNumberFormat="1" applyFont="1" applyBorder="1" applyAlignment="1">
      <alignment horizontal="center" vertical="center"/>
    </xf>
    <xf numFmtId="174" fontId="50" fillId="0" borderId="21" xfId="6" applyNumberFormat="1" applyFont="1" applyBorder="1" applyAlignment="1">
      <alignment horizontal="center" vertical="center"/>
    </xf>
    <xf numFmtId="0" fontId="50" fillId="0" borderId="26" xfId="6" applyFont="1" applyBorder="1" applyAlignment="1">
      <alignment horizontal="left"/>
    </xf>
    <xf numFmtId="175" fontId="50" fillId="0" borderId="26" xfId="3" applyNumberFormat="1" applyFont="1" applyBorder="1" applyAlignment="1">
      <alignment horizontal="center" vertical="center"/>
    </xf>
    <xf numFmtId="0" fontId="51" fillId="0" borderId="0" xfId="6" applyFont="1"/>
    <xf numFmtId="0" fontId="52" fillId="0" borderId="0" xfId="6" applyFont="1"/>
    <xf numFmtId="44" fontId="39" fillId="0" borderId="0" xfId="6" applyNumberFormat="1" applyFont="1"/>
    <xf numFmtId="168" fontId="39" fillId="0" borderId="0" xfId="3" applyFont="1"/>
    <xf numFmtId="0" fontId="53" fillId="0" borderId="1" xfId="6" applyFont="1" applyBorder="1" applyAlignment="1">
      <alignment horizontal="center" vertical="center"/>
    </xf>
    <xf numFmtId="183" fontId="53" fillId="0" borderId="1" xfId="3" applyNumberFormat="1" applyFont="1" applyBorder="1" applyAlignment="1">
      <alignment horizontal="center" vertical="center"/>
    </xf>
    <xf numFmtId="0" fontId="54" fillId="0" borderId="0" xfId="6" applyFont="1"/>
    <xf numFmtId="0" fontId="55" fillId="0" borderId="0" xfId="6" applyFont="1" applyAlignment="1">
      <alignment horizontal="center"/>
    </xf>
    <xf numFmtId="0" fontId="56" fillId="0" borderId="0" xfId="6" applyFont="1"/>
    <xf numFmtId="2" fontId="39" fillId="0" borderId="0" xfId="6" applyNumberFormat="1" applyFont="1"/>
    <xf numFmtId="0" fontId="57" fillId="0" borderId="0" xfId="6" applyFont="1"/>
    <xf numFmtId="174" fontId="39" fillId="0" borderId="0" xfId="6" applyNumberFormat="1" applyFont="1"/>
    <xf numFmtId="0" fontId="59" fillId="0" borderId="0" xfId="6" applyFont="1"/>
    <xf numFmtId="0" fontId="43" fillId="0" borderId="0" xfId="6" applyFont="1" applyAlignment="1">
      <alignment horizontal="right"/>
    </xf>
    <xf numFmtId="3" fontId="39" fillId="0" borderId="0" xfId="6" applyNumberFormat="1" applyFont="1"/>
    <xf numFmtId="0" fontId="40" fillId="8" borderId="14" xfId="6" applyFont="1" applyFill="1" applyBorder="1"/>
    <xf numFmtId="0" fontId="59" fillId="8" borderId="16" xfId="6" applyFont="1" applyFill="1" applyBorder="1"/>
    <xf numFmtId="184" fontId="40" fillId="8" borderId="16" xfId="3" applyNumberFormat="1" applyFont="1" applyFill="1" applyBorder="1" applyAlignment="1">
      <alignment horizontal="center"/>
    </xf>
    <xf numFmtId="185" fontId="39" fillId="0" borderId="0" xfId="6" applyNumberFormat="1" applyFont="1"/>
    <xf numFmtId="38" fontId="39" fillId="0" borderId="0" xfId="6" applyNumberFormat="1" applyFont="1"/>
    <xf numFmtId="3" fontId="40" fillId="0" borderId="0" xfId="6" applyNumberFormat="1" applyFont="1" applyAlignment="1">
      <alignment horizontal="center"/>
    </xf>
    <xf numFmtId="40" fontId="39" fillId="0" borderId="0" xfId="6" applyNumberFormat="1" applyFont="1"/>
    <xf numFmtId="186" fontId="39" fillId="0" borderId="0" xfId="6" applyNumberFormat="1" applyFont="1"/>
    <xf numFmtId="0" fontId="59" fillId="0" borderId="1" xfId="6" applyFont="1" applyBorder="1"/>
    <xf numFmtId="187" fontId="39" fillId="0" borderId="0" xfId="1" applyNumberFormat="1" applyFont="1"/>
    <xf numFmtId="0" fontId="60" fillId="0" borderId="0" xfId="6" applyFont="1"/>
    <xf numFmtId="4" fontId="61" fillId="0" borderId="0" xfId="6" applyNumberFormat="1" applyFont="1" applyAlignment="1">
      <alignment horizontal="center"/>
    </xf>
    <xf numFmtId="175" fontId="61" fillId="0" borderId="0" xfId="6" applyNumberFormat="1" applyFont="1" applyAlignment="1">
      <alignment horizontal="center"/>
    </xf>
    <xf numFmtId="174" fontId="61" fillId="0" borderId="0" xfId="6" applyNumberFormat="1" applyFont="1" applyAlignment="1">
      <alignment horizontal="center"/>
    </xf>
    <xf numFmtId="0" fontId="62" fillId="0" borderId="0" xfId="6" applyFont="1"/>
    <xf numFmtId="175" fontId="61" fillId="0" borderId="0" xfId="3" applyNumberFormat="1" applyFont="1" applyAlignment="1">
      <alignment horizontal="center"/>
    </xf>
    <xf numFmtId="0" fontId="63" fillId="0" borderId="0" xfId="6" applyFont="1"/>
    <xf numFmtId="171" fontId="39" fillId="0" borderId="0" xfId="6" applyNumberFormat="1" applyFont="1"/>
    <xf numFmtId="183" fontId="40" fillId="0" borderId="1" xfId="3" applyNumberFormat="1" applyFont="1" applyBorder="1" applyAlignment="1">
      <alignment horizontal="right"/>
    </xf>
    <xf numFmtId="178" fontId="39" fillId="0" borderId="0" xfId="6" applyNumberFormat="1" applyFont="1"/>
    <xf numFmtId="0" fontId="64" fillId="0" borderId="21" xfId="6" applyFont="1" applyBorder="1" applyAlignment="1">
      <alignment horizontal="center"/>
    </xf>
  </cellXfs>
  <cellStyles count="8">
    <cellStyle name="Hipervínculo" xfId="5" builtinId="8"/>
    <cellStyle name="Millares" xfId="1" builtinId="3"/>
    <cellStyle name="Millares [0]" xfId="2" builtinId="6"/>
    <cellStyle name="Moneda" xfId="3" builtinId="4"/>
    <cellStyle name="Normal" xfId="0" builtinId="0"/>
    <cellStyle name="Normal 2" xfId="6" xr:uid="{6A7D34B8-ABE2-422B-9CFB-F49CDB18C1D2}"/>
    <cellStyle name="Porcentaje" xfId="4" builtinId="5"/>
    <cellStyle name="Porcentual 3" xfId="7" xr:uid="{A2859FFA-C106-42A8-9435-28868847EFF8}"/>
  </cellStyles>
  <dxfs count="4">
    <dxf>
      <fill>
        <patternFill>
          <bgColor indexed="10"/>
        </patternFill>
      </fill>
    </dxf>
    <dxf>
      <font>
        <b/>
        <i val="0"/>
        <condense val="0"/>
        <extend val="0"/>
        <color indexed="9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>
                <a:latin typeface="Arial" panose="020B0604020202020204" pitchFamily="34" charset="0"/>
                <a:cs typeface="Arial" panose="020B0604020202020204" pitchFamily="34" charset="0"/>
              </a:defRPr>
            </a:pPr>
            <a:r>
              <a:rPr lang="es-ES" sz="1400" b="1">
                <a:latin typeface="Arial" panose="020B0604020202020204" pitchFamily="34" charset="0"/>
                <a:cs typeface="Arial" panose="020B0604020202020204" pitchFamily="34" charset="0"/>
              </a:rPr>
              <a:t>COMPOSICIÓN TASA VARIABLE</a:t>
            </a:r>
          </a:p>
        </c:rich>
      </c:tx>
      <c:layout>
        <c:manualLayout>
          <c:xMode val="edge"/>
          <c:yMode val="edge"/>
          <c:x val="0.18641746031746032"/>
          <c:y val="3.6804012345679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0684709240167673"/>
          <c:y val="0.17727324771588615"/>
          <c:w val="0.54451229983444582"/>
          <c:h val="0.80715991001756759"/>
        </c:manualLayout>
      </c:layout>
      <c:pieChart>
        <c:varyColors val="1"/>
        <c:ser>
          <c:idx val="0"/>
          <c:order val="0"/>
          <c:explosion val="1"/>
          <c:dPt>
            <c:idx val="0"/>
            <c:bubble3D val="0"/>
            <c:spPr>
              <a:solidFill>
                <a:srgbClr val="216869"/>
              </a:solidFill>
            </c:spPr>
            <c:extLst>
              <c:ext xmlns:c16="http://schemas.microsoft.com/office/drawing/2014/chart" uri="{C3380CC4-5D6E-409C-BE32-E72D297353CC}">
                <c16:uniqueId val="{00000001-D28E-4AB3-8CAF-68881DBEC5AC}"/>
              </c:ext>
            </c:extLst>
          </c:dPt>
          <c:dPt>
            <c:idx val="1"/>
            <c:bubble3D val="0"/>
            <c:spPr>
              <a:solidFill>
                <a:srgbClr val="083D77"/>
              </a:solidFill>
            </c:spPr>
            <c:extLst>
              <c:ext xmlns:c16="http://schemas.microsoft.com/office/drawing/2014/chart" uri="{C3380CC4-5D6E-409C-BE32-E72D297353CC}">
                <c16:uniqueId val="{00000003-D28E-4AB3-8CAF-68881DBEC5AC}"/>
              </c:ext>
            </c:extLst>
          </c:dPt>
          <c:dPt>
            <c:idx val="2"/>
            <c:bubble3D val="0"/>
            <c:spPr>
              <a:solidFill>
                <a:srgbClr val="49A078"/>
              </a:solidFill>
            </c:spPr>
            <c:extLst>
              <c:ext xmlns:c16="http://schemas.microsoft.com/office/drawing/2014/chart" uri="{C3380CC4-5D6E-409C-BE32-E72D297353CC}">
                <c16:uniqueId val="{00000005-D28E-4AB3-8CAF-68881DBEC5AC}"/>
              </c:ext>
            </c:extLst>
          </c:dPt>
          <c:dPt>
            <c:idx val="3"/>
            <c:bubble3D val="0"/>
            <c:spPr>
              <a:solidFill>
                <a:srgbClr val="1F2421"/>
              </a:solidFill>
            </c:spPr>
            <c:extLst>
              <c:ext xmlns:c16="http://schemas.microsoft.com/office/drawing/2014/chart" uri="{C3380CC4-5D6E-409C-BE32-E72D297353CC}">
                <c16:uniqueId val="{00000007-D28E-4AB3-8CAF-68881DBEC5AC}"/>
              </c:ext>
            </c:extLst>
          </c:dPt>
          <c:dPt>
            <c:idx val="4"/>
            <c:bubble3D val="0"/>
            <c:spPr>
              <a:solidFill>
                <a:schemeClr val="tx1"/>
              </a:solidFill>
            </c:spPr>
            <c:extLst>
              <c:ext xmlns:c16="http://schemas.microsoft.com/office/drawing/2014/chart" uri="{C3380CC4-5D6E-409C-BE32-E72D297353CC}">
                <c16:uniqueId val="{00000009-D28E-4AB3-8CAF-68881DBEC5AC}"/>
              </c:ext>
            </c:extLst>
          </c:dPt>
          <c:dPt>
            <c:idx val="5"/>
            <c:bubble3D val="0"/>
            <c:spPr>
              <a:solidFill>
                <a:srgbClr val="E9422D"/>
              </a:solidFill>
            </c:spPr>
            <c:extLst>
              <c:ext xmlns:c16="http://schemas.microsoft.com/office/drawing/2014/chart" uri="{C3380CC4-5D6E-409C-BE32-E72D297353CC}">
                <c16:uniqueId val="{0000000B-D28E-4AB3-8CAF-68881DBEC5AC}"/>
              </c:ext>
            </c:extLst>
          </c:dPt>
          <c:dLbls>
            <c:dLbl>
              <c:idx val="0"/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 sz="1100">
                        <a:solidFill>
                          <a:schemeClr val="bg1"/>
                        </a:solidFill>
                      </a:defRPr>
                    </a:pPr>
                    <a:fld id="{2835EE07-6433-40B1-9C30-3A167BE364B2}" type="CATEGORYNAME">
                      <a:rPr lang="en-US" sz="1100" b="1">
                        <a:solidFill>
                          <a:schemeClr val="bg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1100">
                          <a:solidFill>
                            <a:schemeClr val="bg1"/>
                          </a:solidFill>
                        </a:defRPr>
                      </a:pPr>
                      <a:t>[NOMBRE DE CATEGORÍA]</a:t>
                    </a:fld>
                    <a:r>
                      <a:rPr lang="en-US" sz="1100" b="1" baseline="0">
                        <a:solidFill>
                          <a:schemeClr val="bg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t> </a:t>
                    </a:r>
                    <a:fld id="{67DD9BA3-AFE5-459C-AEC2-CAEE4338318F}" type="VALUE">
                      <a:rPr lang="en-US" sz="1100" b="1" baseline="0">
                        <a:solidFill>
                          <a:schemeClr val="bg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1100">
                          <a:solidFill>
                            <a:schemeClr val="bg1"/>
                          </a:solidFill>
                        </a:defRPr>
                      </a:pPr>
                      <a:t>[VALOR]</a:t>
                    </a:fld>
                    <a:endParaRPr lang="en-US" sz="1100" b="1" baseline="0">
                      <a:solidFill>
                        <a:schemeClr val="bg1"/>
                      </a:solidFill>
                      <a:latin typeface="Arial" panose="020B0604020202020204" pitchFamily="34" charset="0"/>
                      <a:cs typeface="Arial" panose="020B0604020202020204" pitchFamily="34" charset="0"/>
                    </a:endParaRPr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ctr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4188895340858554"/>
                      <c:h val="8.8300689949334529E-2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D28E-4AB3-8CAF-68881DBEC5AC}"/>
                </c:ext>
              </c:extLst>
            </c:dLbl>
            <c:dLbl>
              <c:idx val="1"/>
              <c:layout>
                <c:manualLayout>
                  <c:x val="0.1841254123703332"/>
                  <c:y val="-4.0327670545185115E-2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 sz="1100">
                        <a:solidFill>
                          <a:schemeClr val="bg1"/>
                        </a:solidFill>
                      </a:defRPr>
                    </a:pPr>
                    <a:fld id="{8C592CC7-E601-4B49-B1CF-4F5550D11919}" type="CATEGORYNAME">
                      <a:rPr lang="en-US" sz="1100" b="1">
                        <a:solidFill>
                          <a:schemeClr val="bg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1100">
                          <a:solidFill>
                            <a:schemeClr val="bg1"/>
                          </a:solidFill>
                        </a:defRPr>
                      </a:pPr>
                      <a:t>[NOMBRE DE CATEGORÍA]</a:t>
                    </a:fld>
                    <a:r>
                      <a:rPr lang="en-US" sz="1100" b="1" baseline="0">
                        <a:solidFill>
                          <a:schemeClr val="bg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t> </a:t>
                    </a:r>
                    <a:fld id="{1B5E5E63-9E87-4264-838F-D2795F7B4300}" type="VALUE">
                      <a:rPr lang="en-US" sz="1100" b="1" baseline="0">
                        <a:solidFill>
                          <a:schemeClr val="bg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1100">
                          <a:solidFill>
                            <a:schemeClr val="bg1"/>
                          </a:solidFill>
                        </a:defRPr>
                      </a:pPr>
                      <a:t>[VALOR]</a:t>
                    </a:fld>
                    <a:endParaRPr lang="en-US" sz="1100" b="1" baseline="0">
                      <a:solidFill>
                        <a:schemeClr val="bg1"/>
                      </a:solidFill>
                      <a:latin typeface="Arial" panose="020B0604020202020204" pitchFamily="34" charset="0"/>
                      <a:cs typeface="Arial" panose="020B0604020202020204" pitchFamily="34" charset="0"/>
                    </a:endParaRPr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3952126199563936"/>
                      <c:h val="0.11027361322174085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D28E-4AB3-8CAF-68881DBEC5AC}"/>
                </c:ext>
              </c:extLst>
            </c:dLbl>
            <c:dLbl>
              <c:idx val="2"/>
              <c:layout>
                <c:manualLayout>
                  <c:x val="1.640552899928013E-2"/>
                  <c:y val="2.5786628561923985E-2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 sz="1100" b="1">
                        <a:solidFill>
                          <a:srgbClr val="49A078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defRPr>
                    </a:pPr>
                    <a:fld id="{5F9A05F7-82CC-429A-A045-CF8014B0C565}" type="CATEGORYNAME">
                      <a:rPr lang="en-US">
                        <a:solidFill>
                          <a:srgbClr val="49A078"/>
                        </a:solidFill>
                      </a:rPr>
                      <a:pPr>
                        <a:defRPr sz="1100" b="1">
                          <a:solidFill>
                            <a:srgbClr val="49A078"/>
                          </a:solidFill>
                          <a:latin typeface="Arial" panose="020B0604020202020204" pitchFamily="34" charset="0"/>
                          <a:cs typeface="Arial" panose="020B0604020202020204" pitchFamily="34" charset="0"/>
                        </a:defRPr>
                      </a:pPr>
                      <a:t>[NOMBRE DE CATEGORÍA]</a:t>
                    </a:fld>
                    <a:r>
                      <a:rPr lang="en-US" baseline="0">
                        <a:solidFill>
                          <a:srgbClr val="49A078"/>
                        </a:solidFill>
                      </a:rPr>
                      <a:t> </a:t>
                    </a:r>
                    <a:fld id="{38720D98-E96A-48B1-AAB4-68A87FB0DEE4}" type="VALUE">
                      <a:rPr lang="en-US" baseline="0">
                        <a:solidFill>
                          <a:srgbClr val="49A078"/>
                        </a:solidFill>
                      </a:rPr>
                      <a:pPr>
                        <a:defRPr sz="1100" b="1">
                          <a:solidFill>
                            <a:srgbClr val="49A078"/>
                          </a:solidFill>
                          <a:latin typeface="Arial" panose="020B0604020202020204" pitchFamily="34" charset="0"/>
                          <a:cs typeface="Arial" panose="020B0604020202020204" pitchFamily="34" charset="0"/>
                        </a:defRPr>
                      </a:pPr>
                      <a:t>[VALOR]</a:t>
                    </a:fld>
                    <a:endParaRPr lang="en-US" baseline="0">
                      <a:solidFill>
                        <a:srgbClr val="49A078"/>
                      </a:solidFill>
                    </a:endParaRPr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4896634229456577"/>
                      <c:h val="9.0101688251793724E-2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D28E-4AB3-8CAF-68881DBEC5AC}"/>
                </c:ext>
              </c:extLst>
            </c:dLbl>
            <c:dLbl>
              <c:idx val="3"/>
              <c:layout>
                <c:manualLayout>
                  <c:x val="2.1047071070117197E-2"/>
                  <c:y val="-8.2220054888975987E-3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 sz="1100">
                        <a:solidFill>
                          <a:srgbClr val="1F2421"/>
                        </a:solidFill>
                      </a:defRPr>
                    </a:pPr>
                    <a:fld id="{F8EE7C64-0858-4C57-B723-AF60F32ADA3C}" type="CATEGORYNAME">
                      <a:rPr lang="en-US" sz="1100" b="1">
                        <a:solidFill>
                          <a:srgbClr val="1F242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1100">
                          <a:solidFill>
                            <a:srgbClr val="1F2421"/>
                          </a:solidFill>
                        </a:defRPr>
                      </a:pPr>
                      <a:t>[NOMBRE DE CATEGORÍA]</a:t>
                    </a:fld>
                    <a:r>
                      <a:rPr lang="en-US" sz="1100" b="1" baseline="0">
                        <a:solidFill>
                          <a:srgbClr val="1F242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t> </a:t>
                    </a:r>
                    <a:fld id="{CDCCC69C-CC2D-43B9-82ED-2ECDB134299D}" type="VALUE">
                      <a:rPr lang="en-US" sz="1100" b="1" baseline="0">
                        <a:solidFill>
                          <a:srgbClr val="1F242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1100">
                          <a:solidFill>
                            <a:srgbClr val="1F2421"/>
                          </a:solidFill>
                        </a:defRPr>
                      </a:pPr>
                      <a:t>[VALOR]</a:t>
                    </a:fld>
                    <a:endParaRPr lang="en-US" sz="1100" b="1" baseline="0">
                      <a:solidFill>
                        <a:srgbClr val="1F2421"/>
                      </a:solidFill>
                      <a:latin typeface="Arial" panose="020B0604020202020204" pitchFamily="34" charset="0"/>
                      <a:cs typeface="Arial" panose="020B0604020202020204" pitchFamily="34" charset="0"/>
                    </a:endParaRPr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7680958718945992"/>
                      <c:h val="7.3703644900088433E-2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7-D28E-4AB3-8CAF-68881DBEC5AC}"/>
                </c:ext>
              </c:extLst>
            </c:dLbl>
            <c:dLbl>
              <c:idx val="4"/>
              <c:layout>
                <c:manualLayout>
                  <c:x val="9.6994474108063042E-2"/>
                  <c:y val="-5.0206022666273525E-2"/>
                </c:manualLayout>
              </c:layout>
              <c:tx>
                <c:rich>
                  <a:bodyPr wrap="square" lIns="38100" tIns="19050" rIns="38100" bIns="19050" anchor="ctr">
                    <a:spAutoFit/>
                  </a:bodyPr>
                  <a:lstStyle/>
                  <a:p>
                    <a:pPr>
                      <a:defRPr sz="1100">
                        <a:solidFill>
                          <a:schemeClr val="tx1"/>
                        </a:solidFill>
                      </a:defRPr>
                    </a:pPr>
                    <a:fld id="{9C5395D2-D598-40F5-B8B6-FBF410B9ED82}" type="CATEGORYNAME">
                      <a:rPr lang="en-US" sz="1100" b="1">
                        <a:solidFill>
                          <a:schemeClr val="tx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1100">
                          <a:solidFill>
                            <a:schemeClr val="tx1"/>
                          </a:solidFill>
                        </a:defRPr>
                      </a:pPr>
                      <a:t>[NOMBRE DE CATEGORÍA]</a:t>
                    </a:fld>
                    <a:r>
                      <a:rPr lang="en-US" sz="1100" b="1" baseline="0">
                        <a:solidFill>
                          <a:schemeClr val="tx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t> </a:t>
                    </a:r>
                    <a:fld id="{3BCEDB52-11CE-475C-9D9A-860C7AE133E9}" type="VALUE">
                      <a:rPr lang="en-US" sz="1100" b="1" baseline="0">
                        <a:solidFill>
                          <a:schemeClr val="tx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1100">
                          <a:solidFill>
                            <a:schemeClr val="tx1"/>
                          </a:solidFill>
                        </a:defRPr>
                      </a:pPr>
                      <a:t>[VALOR]</a:t>
                    </a:fld>
                    <a:endParaRPr lang="en-US" sz="1100" b="1" baseline="0">
                      <a:solidFill>
                        <a:schemeClr val="tx1"/>
                      </a:solidFill>
                      <a:latin typeface="Arial" panose="020B0604020202020204" pitchFamily="34" charset="0"/>
                      <a:cs typeface="Arial" panose="020B0604020202020204" pitchFamily="34" charset="0"/>
                    </a:endParaRPr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17974477976866776"/>
                      <c:h val="0.11002335711902334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9-D28E-4AB3-8CAF-68881DBEC5A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>
                  <c15:layout>
                    <c:manualLayout>
                      <c:w val="0.28381416016282485"/>
                      <c:h val="0.106601344250644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D28E-4AB3-8CAF-68881DBEC5AC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100"/>
                </a:pPr>
                <a:endParaRPr lang="es-CO"/>
              </a:p>
            </c:txPr>
            <c:dLblPos val="outEnd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6"/>
              <c:pt idx="0">
                <c:v>IBR</c:v>
              </c:pt>
              <c:pt idx="1">
                <c:v>IPC</c:v>
              </c:pt>
              <c:pt idx="2">
                <c:v>SOFR</c:v>
              </c:pt>
              <c:pt idx="3">
                <c:v>BID</c:v>
              </c:pt>
              <c:pt idx="4">
                <c:v>DTF</c:v>
              </c:pt>
              <c:pt idx="5">
                <c:v>EURIBOR</c:v>
              </c:pt>
            </c:strLit>
          </c:cat>
          <c:val>
            <c:numLit>
              <c:formatCode>0.0%</c:formatCode>
              <c:ptCount val="6"/>
              <c:pt idx="0">
                <c:v>0.83565262931104689</c:v>
              </c:pt>
              <c:pt idx="1">
                <c:v>0.14165887685929715</c:v>
              </c:pt>
              <c:pt idx="2">
                <c:v>1.2850610880187836E-2</c:v>
              </c:pt>
              <c:pt idx="3">
                <c:v>5.5676367623015525E-3</c:v>
              </c:pt>
              <c:pt idx="4">
                <c:v>4.2702461871666538E-3</c:v>
              </c:pt>
              <c:pt idx="5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C-D28E-4AB3-8CAF-68881DBEC5A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08"/>
      </c:pieChart>
    </c:plotArea>
    <c:plotVisOnly val="1"/>
    <c:dispBlanksAs val="zero"/>
    <c:showDLblsOverMax val="0"/>
  </c:chart>
  <c:spPr>
    <a:noFill/>
    <a:ln>
      <a:noFill/>
    </a:ln>
  </c:spPr>
  <c:printSettings>
    <c:headerFooter alignWithMargins="0"/>
    <c:pageMargins b="1" l="0.75000000000001465" r="0.75000000000001465" t="1" header="0" footer="0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latin typeface="Corbel" panose="020B0503020204020204" pitchFamily="34" charset="0"/>
              </a:defRPr>
            </a:pPr>
            <a:r>
              <a:rPr lang="es-ES" sz="1400">
                <a:latin typeface="Corbel" panose="020B0503020204020204" pitchFamily="34" charset="0"/>
              </a:rPr>
              <a:t>COMPOSICIÓN</a:t>
            </a:r>
            <a:r>
              <a:rPr lang="es-ES" sz="1400" baseline="0">
                <a:latin typeface="Corbel" panose="020B0503020204020204" pitchFamily="34" charset="0"/>
              </a:rPr>
              <a:t> POR TIPO DE ENDEUDAMIENTO</a:t>
            </a:r>
            <a:endParaRPr lang="es-ES" sz="1400">
              <a:latin typeface="Corbel" panose="020B0503020204020204" pitchFamily="34" charset="0"/>
            </a:endParaRPr>
          </a:p>
        </c:rich>
      </c:tx>
      <c:layout>
        <c:manualLayout>
          <c:xMode val="edge"/>
          <c:yMode val="edge"/>
          <c:x val="0.17696825396825394"/>
          <c:y val="3.992901234567901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5845734126984127"/>
          <c:y val="0.1914533950617284"/>
          <c:w val="0.51358571428571431"/>
          <c:h val="0.7989111111111111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1D3557"/>
              </a:solidFill>
            </c:spPr>
            <c:extLst>
              <c:ext xmlns:c16="http://schemas.microsoft.com/office/drawing/2014/chart" uri="{C3380CC4-5D6E-409C-BE32-E72D297353CC}">
                <c16:uniqueId val="{00000001-B00F-4559-B95E-A23855734E3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</c:spPr>
            <c:extLst>
              <c:ext xmlns:c16="http://schemas.microsoft.com/office/drawing/2014/chart" uri="{C3380CC4-5D6E-409C-BE32-E72D297353CC}">
                <c16:uniqueId val="{00000003-B00F-4559-B95E-A23855734E3C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</c:spPr>
            <c:extLst>
              <c:ext xmlns:c16="http://schemas.microsoft.com/office/drawing/2014/chart" uri="{C3380CC4-5D6E-409C-BE32-E72D297353CC}">
                <c16:uniqueId val="{00000005-B00F-4559-B95E-A23855734E3C}"/>
              </c:ext>
            </c:extLst>
          </c:dPt>
          <c:dLbls>
            <c:dLbl>
              <c:idx val="0"/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 sz="105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00F-4559-B95E-A23855734E3C}"/>
                </c:ext>
              </c:extLst>
            </c:dLbl>
            <c:dLbl>
              <c:idx val="1"/>
              <c:layout>
                <c:manualLayout>
                  <c:x val="7.9403980389144285E-3"/>
                  <c:y val="0.24499750727414393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 sz="105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00F-4559-B95E-A23855734E3C}"/>
                </c:ext>
              </c:extLst>
            </c:dLbl>
            <c:dLbl>
              <c:idx val="2"/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 sz="1050" b="1">
                      <a:solidFill>
                        <a:schemeClr val="accent6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00F-4559-B95E-A23855734E3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5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EXTERNA EN PESOS</c:v>
              </c:pt>
              <c:pt idx="1">
                <c:v>INTERNA</c:v>
              </c:pt>
              <c:pt idx="2">
                <c:v>EXTERNA</c:v>
              </c:pt>
            </c:strLit>
          </c:cat>
          <c:val>
            <c:numLit>
              <c:formatCode>0.0%</c:formatCode>
              <c:ptCount val="3"/>
              <c:pt idx="0">
                <c:v>0.2191767451664533</c:v>
              </c:pt>
              <c:pt idx="1">
                <c:v>0.76832873592406159</c:v>
              </c:pt>
              <c:pt idx="2">
                <c:v>1.2494518909485068E-2</c:v>
              </c:pt>
            </c:numLit>
          </c:val>
          <c:extLst>
            <c:ext xmlns:c16="http://schemas.microsoft.com/office/drawing/2014/chart" uri="{C3380CC4-5D6E-409C-BE32-E72D297353CC}">
              <c16:uniqueId val="{00000006-B00F-4559-B95E-A23855734E3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41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 rot="540000"/>
    <a:lstStyle/>
    <a:p>
      <a:pPr>
        <a:defRPr sz="800">
          <a:latin typeface="Arial" pitchFamily="34" charset="0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/>
            </a:pPr>
            <a:r>
              <a:rPr lang="es-ES" sz="1400" b="1">
                <a:solidFill>
                  <a:schemeClr val="tx1"/>
                </a:solidFill>
              </a:rPr>
              <a:t>COMPOSICIÓN DE FUENTES</a:t>
            </a:r>
          </a:p>
        </c:rich>
      </c:tx>
      <c:layout>
        <c:manualLayout>
          <c:xMode val="edge"/>
          <c:yMode val="edge"/>
          <c:x val="0.28168275356597122"/>
          <c:y val="6.1305812987848235E-2"/>
        </c:manualLayout>
      </c:layout>
      <c:overlay val="0"/>
      <c:spPr>
        <a:noFill/>
      </c:spPr>
    </c:title>
    <c:autoTitleDeleted val="0"/>
    <c:plotArea>
      <c:layout>
        <c:manualLayout>
          <c:layoutTarget val="inner"/>
          <c:xMode val="edge"/>
          <c:yMode val="edge"/>
          <c:x val="0.22718730158730158"/>
          <c:y val="0.192575"/>
          <c:w val="0.50516845238095243"/>
          <c:h val="0.78581759259259254"/>
        </c:manualLayout>
      </c:layout>
      <c:pieChart>
        <c:varyColors val="1"/>
        <c:ser>
          <c:idx val="0"/>
          <c:order val="0"/>
          <c:spPr>
            <a:solidFill>
              <a:srgbClr val="CA1D25"/>
            </a:solidFill>
            <a:ln>
              <a:noFill/>
            </a:ln>
          </c:spPr>
          <c:explosion val="1"/>
          <c:dPt>
            <c:idx val="0"/>
            <c:bubble3D val="0"/>
            <c:spPr>
              <a:solidFill>
                <a:srgbClr val="343E4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C092-4589-8E57-B90B1798AB72}"/>
              </c:ext>
            </c:extLst>
          </c:dPt>
          <c:dPt>
            <c:idx val="1"/>
            <c:bubble3D val="0"/>
            <c:spPr>
              <a:solidFill>
                <a:srgbClr val="8E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C092-4589-8E57-B90B1798AB72}"/>
              </c:ext>
            </c:extLst>
          </c:dPt>
          <c:dPt>
            <c:idx val="2"/>
            <c:bubble3D val="0"/>
            <c:spPr>
              <a:solidFill>
                <a:srgbClr val="636468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C092-4589-8E57-B90B1798AB72}"/>
              </c:ext>
            </c:extLst>
          </c:dPt>
          <c:dPt>
            <c:idx val="3"/>
            <c:bubble3D val="0"/>
            <c:spPr>
              <a:solidFill>
                <a:srgbClr val="EC9618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7-C092-4589-8E57-B90B1798AB72}"/>
              </c:ext>
            </c:extLst>
          </c:dPt>
          <c:dPt>
            <c:idx val="4"/>
            <c:bubble3D val="0"/>
            <c:spPr>
              <a:solidFill>
                <a:srgbClr val="216869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9-C092-4589-8E57-B90B1798AB72}"/>
              </c:ext>
            </c:extLst>
          </c:dPt>
          <c:dLbls>
            <c:dLbl>
              <c:idx val="0"/>
              <c:layout>
                <c:manualLayout>
                  <c:x val="-0.10051773423304894"/>
                  <c:y val="-0.11263976868076053"/>
                </c:manualLayout>
              </c:layout>
              <c:tx>
                <c:rich>
                  <a:bodyPr wrap="square" lIns="38100" tIns="19050" rIns="38100" bIns="19050" anchor="ctr">
                    <a:spAutoFit/>
                  </a:bodyPr>
                  <a:lstStyle/>
                  <a:p>
                    <a:pPr>
                      <a:defRPr>
                        <a:solidFill>
                          <a:schemeClr val="bg1"/>
                        </a:solidFill>
                      </a:defRPr>
                    </a:pPr>
                    <a:fld id="{B39FF096-E050-4972-B24B-43A8AD8BD22F}" type="CATEGORYNAME">
                      <a:rPr lang="en-US">
                        <a:solidFill>
                          <a:schemeClr val="bg1"/>
                        </a:solidFill>
                      </a:rPr>
                      <a:pPr>
                        <a:defRPr>
                          <a:solidFill>
                            <a:schemeClr val="bg1"/>
                          </a:solidFill>
                        </a:defRPr>
                      </a:pPr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 </a:t>
                    </a:r>
                    <a:fld id="{3033E0C3-C5A3-4F5B-A807-E7492CFCFC92}" type="VALUE">
                      <a:rPr lang="en-US" baseline="0">
                        <a:solidFill>
                          <a:schemeClr val="bg1"/>
                        </a:solidFill>
                      </a:rPr>
                      <a:pPr>
                        <a:defRPr>
                          <a:solidFill>
                            <a:schemeClr val="bg1"/>
                          </a:solidFill>
                        </a:defRPr>
                      </a:pPr>
                      <a:t>[VALOR]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6849177822265674"/>
                      <c:h val="0.17452680067695803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C092-4589-8E57-B90B1798AB72}"/>
                </c:ext>
              </c:extLst>
            </c:dLbl>
            <c:dLbl>
              <c:idx val="1"/>
              <c:layout>
                <c:manualLayout>
                  <c:x val="-4.5119798666959279E-3"/>
                  <c:y val="3.7212025442131667E-2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>
                      <a:solidFill>
                        <a:srgbClr val="8E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4285738947295735"/>
                      <c:h val="0.2010255940941398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092-4589-8E57-B90B1798AB72}"/>
                </c:ext>
              </c:extLst>
            </c:dLbl>
            <c:dLbl>
              <c:idx val="2"/>
              <c:layout>
                <c:manualLayout>
                  <c:x val="2.2013523053487916E-3"/>
                  <c:y val="-2.2892706540738272E-2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30510670857514283"/>
                      <c:h val="0.2074374196211091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C092-4589-8E57-B90B1798AB72}"/>
                </c:ext>
              </c:extLst>
            </c:dLbl>
            <c:dLbl>
              <c:idx val="3"/>
              <c:layout>
                <c:manualLayout>
                  <c:x val="2.5771265399078865E-2"/>
                  <c:y val="0.31199600055520549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35948139756417125"/>
                      <c:h val="0.1772460702783252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C092-4589-8E57-B90B1798AB72}"/>
                </c:ext>
              </c:extLst>
            </c:dLbl>
            <c:dLbl>
              <c:idx val="4"/>
              <c:layout>
                <c:manualLayout>
                  <c:x val="-2.5266865079365077E-3"/>
                  <c:y val="7.379444444444444E-2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>
                      <a:solidFill>
                        <a:srgbClr val="216869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1618234126984123"/>
                      <c:h val="0.2664697530864197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C092-4589-8E57-B90B1798AB7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5"/>
              <c:pt idx="0">
                <c:v>BONOS</c:v>
              </c:pt>
              <c:pt idx="1">
                <c:v>MULTILATERAL</c:v>
              </c:pt>
              <c:pt idx="2">
                <c:v>FOMENTO Y GOBIERNO</c:v>
              </c:pt>
              <c:pt idx="3">
                <c:v>COMERCIAL</c:v>
              </c:pt>
              <c:pt idx="4">
                <c:v>COMERCIAL EXTERNA</c:v>
              </c:pt>
            </c:strLit>
          </c:cat>
          <c:val>
            <c:numLit>
              <c:formatCode>0.0%</c:formatCode>
              <c:ptCount val="5"/>
              <c:pt idx="0">
                <c:v>0.38053854481318528</c:v>
              </c:pt>
              <c:pt idx="1">
                <c:v>5.5576038656938234E-2</c:v>
              </c:pt>
              <c:pt idx="2">
                <c:v>6.1169247029549907E-2</c:v>
              </c:pt>
              <c:pt idx="3">
                <c:v>0.44118819631946854</c:v>
              </c:pt>
              <c:pt idx="4">
                <c:v>6.1527973180858175E-2</c:v>
              </c:pt>
            </c:numLit>
          </c:val>
          <c:extLst>
            <c:ext xmlns:c16="http://schemas.microsoft.com/office/drawing/2014/chart" uri="{C3380CC4-5D6E-409C-BE32-E72D297353CC}">
              <c16:uniqueId val="{0000000A-C092-4589-8E57-B90B1798AB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99"/>
      </c:pieChart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100" b="1">
          <a:latin typeface="Arial" pitchFamily="34" charset="0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GB" sz="1400" b="1" i="0" u="none" strike="noStrike" baseline="0">
                <a:solidFill>
                  <a:srgbClr val="000000"/>
                </a:solidFill>
                <a:latin typeface="Arial" pitchFamily="34" charset="0"/>
                <a:ea typeface="Verdana"/>
                <a:cs typeface="Arial" pitchFamily="34" charset="0"/>
              </a:defRPr>
            </a:pPr>
            <a:r>
              <a:rPr lang="es-ES" sz="1400" baseline="0">
                <a:latin typeface="Arial" pitchFamily="34" charset="0"/>
                <a:cs typeface="Arial" pitchFamily="34" charset="0"/>
              </a:rPr>
              <a:t>COMPOSICIÓN POR TIPO DE TASA DE INTERES</a:t>
            </a:r>
          </a:p>
        </c:rich>
      </c:tx>
      <c:layout>
        <c:manualLayout>
          <c:xMode val="edge"/>
          <c:yMode val="edge"/>
          <c:x val="0.14813457358308665"/>
          <c:y val="4.045549797283596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6717400793650792"/>
          <c:y val="0.19023395061728396"/>
          <c:w val="0.5058799603174603"/>
          <c:h val="0.78692438271604936"/>
        </c:manualLayout>
      </c:layout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noFill/>
              <a:prstDash val="solid"/>
            </a:ln>
          </c:spPr>
          <c:explosion val="1"/>
          <c:dPt>
            <c:idx val="0"/>
            <c:bubble3D val="0"/>
            <c:spPr>
              <a:solidFill>
                <a:schemeClr val="tx1">
                  <a:lumMod val="50000"/>
                  <a:lumOff val="50000"/>
                </a:schemeClr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8B58-4094-A390-A399FB3E3163}"/>
              </c:ext>
            </c:extLst>
          </c:dPt>
          <c:dPt>
            <c:idx val="1"/>
            <c:bubble3D val="0"/>
            <c:spPr>
              <a:solidFill>
                <a:srgbClr val="083D77"/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8B58-4094-A390-A399FB3E3163}"/>
              </c:ext>
            </c:extLst>
          </c:dPt>
          <c:dLbls>
            <c:dLbl>
              <c:idx val="0"/>
              <c:layout>
                <c:manualLayout>
                  <c:x val="0.25673093763109767"/>
                  <c:y val="2.2310339506172838E-2"/>
                </c:manualLayout>
              </c:layout>
              <c:tx>
                <c:rich>
                  <a:bodyPr/>
                  <a:lstStyle/>
                  <a:p>
                    <a:pPr>
                      <a:defRPr sz="1100">
                        <a:solidFill>
                          <a:schemeClr val="bg1"/>
                        </a:solidFill>
                        <a:latin typeface="Arial" pitchFamily="34" charset="0"/>
                        <a:cs typeface="Arial" pitchFamily="34" charset="0"/>
                      </a:defRPr>
                    </a:pPr>
                    <a:fld id="{D02E508B-1044-4DE9-BFB6-71EFCB9BD6B6}" type="CATEGORYNAME">
                      <a:rPr lang="en-US">
                        <a:solidFill>
                          <a:schemeClr val="bg1"/>
                        </a:solidFill>
                      </a:rPr>
                      <a:pPr>
                        <a:defRPr sz="1100">
                          <a:solidFill>
                            <a:schemeClr val="bg1"/>
                          </a:solidFill>
                          <a:latin typeface="Arial" pitchFamily="34" charset="0"/>
                          <a:cs typeface="Arial" pitchFamily="34" charset="0"/>
                        </a:defRPr>
                      </a:pPr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 </a:t>
                    </a:r>
                    <a:fld id="{EA03958D-FFF2-4791-AA48-3E601C11E024}" type="VALUE">
                      <a:rPr lang="en-US" baseline="0">
                        <a:solidFill>
                          <a:schemeClr val="bg1"/>
                        </a:solidFill>
                      </a:rPr>
                      <a:pPr>
                        <a:defRPr sz="1100">
                          <a:solidFill>
                            <a:schemeClr val="bg1"/>
                          </a:solidFill>
                          <a:latin typeface="Arial" pitchFamily="34" charset="0"/>
                          <a:cs typeface="Arial" pitchFamily="34" charset="0"/>
                        </a:defRPr>
                      </a:pPr>
                      <a:t>[VALOR]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6285714285714284"/>
                      <c:h val="0.110929012345678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8B58-4094-A390-A399FB3E3163}"/>
                </c:ext>
              </c:extLst>
            </c:dLbl>
            <c:dLbl>
              <c:idx val="1"/>
              <c:layout>
                <c:manualLayout>
                  <c:x val="-0.22274597659673998"/>
                  <c:y val="3.9357012727927881E-3"/>
                </c:manualLayout>
              </c:layout>
              <c:tx>
                <c:rich>
                  <a:bodyPr/>
                  <a:lstStyle/>
                  <a:p>
                    <a:pPr>
                      <a:defRPr sz="1100">
                        <a:solidFill>
                          <a:schemeClr val="bg1"/>
                        </a:solidFill>
                        <a:latin typeface="Arial" pitchFamily="34" charset="0"/>
                        <a:cs typeface="Arial" pitchFamily="34" charset="0"/>
                      </a:defRPr>
                    </a:pPr>
                    <a:fld id="{9A3319BE-43E7-4C40-BC98-BE2CCC40A949}" type="CATEGORYNAME">
                      <a:rPr lang="en-US"/>
                      <a:pPr>
                        <a:defRPr sz="1100">
                          <a:solidFill>
                            <a:schemeClr val="bg1"/>
                          </a:solidFill>
                          <a:latin typeface="Arial" pitchFamily="34" charset="0"/>
                          <a:cs typeface="Arial" pitchFamily="34" charset="0"/>
                        </a:defRPr>
                      </a:pPr>
                      <a:t>[NOMBRE DE CATEGORÍA]</a:t>
                    </a:fld>
                    <a:r>
                      <a:rPr lang="en-US" baseline="0"/>
                      <a:t> </a:t>
                    </a:r>
                    <a:fld id="{D490ACB0-D641-4E01-A6E6-238377672057}" type="VALUE">
                      <a:rPr lang="en-US" baseline="0"/>
                      <a:pPr>
                        <a:defRPr sz="1100">
                          <a:solidFill>
                            <a:schemeClr val="bg1"/>
                          </a:solidFill>
                          <a:latin typeface="Arial" pitchFamily="34" charset="0"/>
                          <a:cs typeface="Arial" pitchFamily="34" charset="0"/>
                        </a:defRPr>
                      </a:pPr>
                      <a:t>[VALOR]</a:t>
                    </a:fld>
                    <a:endParaRPr lang="en-US" baseline="0"/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5275169760017085"/>
                      <c:h val="0.1610513408171905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8B58-4094-A390-A399FB3E316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100">
                    <a:latin typeface="Arial" pitchFamily="34" charset="0"/>
                    <a:cs typeface="Arial" pitchFamily="34" charset="0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FIJA</c:v>
              </c:pt>
              <c:pt idx="1">
                <c:v>VARIABLE</c:v>
              </c:pt>
            </c:strLit>
          </c:cat>
          <c:val>
            <c:numLit>
              <c:formatCode>0.0%</c:formatCode>
              <c:ptCount val="2"/>
              <c:pt idx="0">
                <c:v>0.40370034710800795</c:v>
              </c:pt>
              <c:pt idx="1">
                <c:v>0.59629965289199205</c:v>
              </c:pt>
            </c:numLit>
          </c:val>
          <c:extLst>
            <c:ext xmlns:c16="http://schemas.microsoft.com/office/drawing/2014/chart" uri="{C3380CC4-5D6E-409C-BE32-E72D297353CC}">
              <c16:uniqueId val="{00000004-8B58-4094-A390-A399FB3E3163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189"/>
      </c:pie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925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s-CO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030416666666667"/>
          <c:y val="0.18735092592592592"/>
          <c:w val="0.50583253968253961"/>
          <c:h val="0.78685061728395045"/>
        </c:manualLayout>
      </c:layout>
      <c:pieChart>
        <c:varyColors val="1"/>
        <c:ser>
          <c:idx val="0"/>
          <c:order val="0"/>
          <c:spPr>
            <a:solidFill>
              <a:srgbClr val="6D3B47"/>
            </a:solidFill>
            <a:ln>
              <a:noFill/>
            </a:ln>
          </c:spPr>
          <c:explosion val="1"/>
          <c:dPt>
            <c:idx val="0"/>
            <c:bubble3D val="0"/>
            <c:spPr>
              <a:solidFill>
                <a:srgbClr val="1D3557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2049-45A6-A147-7FEA6E734B53}"/>
              </c:ext>
            </c:extLst>
          </c:dPt>
          <c:dPt>
            <c:idx val="1"/>
            <c:bubble3D val="0"/>
            <c:spPr>
              <a:solidFill>
                <a:schemeClr val="bg1">
                  <a:lumMod val="5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2049-45A6-A147-7FEA6E734B53}"/>
              </c:ext>
            </c:extLst>
          </c:dPt>
          <c:dPt>
            <c:idx val="2"/>
            <c:bubble3D val="0"/>
            <c:spPr>
              <a:solidFill>
                <a:srgbClr val="457B9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2049-45A6-A147-7FEA6E734B53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6-2049-45A6-A147-7FEA6E734B53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07-2049-45A6-A147-7FEA6E734B53}"/>
              </c:ext>
            </c:extLst>
          </c:dPt>
          <c:dLbls>
            <c:dLbl>
              <c:idx val="0"/>
              <c:layout>
                <c:manualLayout>
                  <c:x val="1.8099101745110997E-2"/>
                  <c:y val="-0.2288621296088327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049-45A6-A147-7FEA6E734B53}"/>
                </c:ext>
              </c:extLst>
            </c:dLbl>
            <c:dLbl>
              <c:idx val="1"/>
              <c:layout>
                <c:manualLayout>
                  <c:x val="7.7069444444444442E-3"/>
                  <c:y val="0.21103765432098764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049-45A6-A147-7FEA6E734B53}"/>
                </c:ext>
              </c:extLst>
            </c:dLbl>
            <c:dLbl>
              <c:idx val="2"/>
              <c:layout>
                <c:manualLayout>
                  <c:x val="-8.4958921767791726E-3"/>
                  <c:y val="-7.6332705350990182E-3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>
                      <a:solidFill>
                        <a:srgbClr val="457B9D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049-45A6-A147-7FEA6E734B53}"/>
                </c:ext>
              </c:extLst>
            </c:dLbl>
            <c:dLbl>
              <c:idx val="3"/>
              <c:layout>
                <c:manualLayout>
                  <c:x val="5.6601998568443822E-3"/>
                  <c:y val="9.0527891546358319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13160342495165517"/>
                      <c:h val="0.1400784125431317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049-45A6-A147-7FEA6E734B53}"/>
                </c:ext>
              </c:extLst>
            </c:dLbl>
            <c:dLbl>
              <c:idx val="4"/>
              <c:layout>
                <c:manualLayout>
                  <c:x val="3.4615924307226306E-2"/>
                  <c:y val="8.9740825813024505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049-45A6-A147-7FEA6E734B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4"/>
              <c:pt idx="0">
                <c:v>COP</c:v>
              </c:pt>
              <c:pt idx="1">
                <c:v>UVR</c:v>
              </c:pt>
              <c:pt idx="2">
                <c:v>USD</c:v>
              </c:pt>
              <c:pt idx="3">
                <c:v>EUR</c:v>
              </c:pt>
            </c:strLit>
          </c:cat>
          <c:val>
            <c:numLit>
              <c:formatCode>0.0%</c:formatCode>
              <c:ptCount val="4"/>
              <c:pt idx="0">
                <c:v>0.74483608058619011</c:v>
              </c:pt>
              <c:pt idx="1">
                <c:v>0.24266940050432484</c:v>
              </c:pt>
              <c:pt idx="2">
                <c:v>1.1788043014707948E-2</c:v>
              </c:pt>
              <c:pt idx="3">
                <c:v>7.0647589477706931E-4</c:v>
              </c:pt>
            </c:numLit>
          </c:val>
          <c:extLst>
            <c:ext xmlns:c16="http://schemas.microsoft.com/office/drawing/2014/chart" uri="{C3380CC4-5D6E-409C-BE32-E72D297353CC}">
              <c16:uniqueId val="{00000008-2049-45A6-A147-7FEA6E734B5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52"/>
      </c:pieChart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100" b="1">
          <a:latin typeface="Arial" pitchFamily="34" charset="0"/>
          <a:cs typeface="Arial" pitchFamily="34" charset="0"/>
        </a:defRPr>
      </a:pPr>
      <a:endParaRPr lang="es-CO"/>
    </a:p>
  </c:txPr>
  <c:printSettings>
    <c:headerFooter/>
    <c:pageMargins b="0.75000000000000699" l="0.70000000000000062" r="0.70000000000000062" t="0.75000000000000699" header="0.30000000000000032" footer="0.30000000000000032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v>Bonos</c:v>
          </c:tx>
          <c:spPr>
            <a:solidFill>
              <a:srgbClr val="343E4D"/>
            </a:solidFill>
            <a:ln>
              <a:noFill/>
            </a:ln>
            <a:effectLst/>
          </c:spPr>
          <c:invertIfNegative val="0"/>
          <c:cat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2024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2025</c:v>
                </c:pt>
                <c:pt idx="1">
                  <c:v>2026</c:v>
                </c:pt>
                <c:pt idx="2">
                  <c:v>2027</c:v>
                </c:pt>
                <c:pt idx="3">
                  <c:v>2028</c:v>
                </c:pt>
                <c:pt idx="4">
                  <c:v>2029</c:v>
                </c:pt>
                <c:pt idx="5">
                  <c:v>2030</c:v>
                </c:pt>
                <c:pt idx="6">
                  <c:v>2031</c:v>
                </c:pt>
                <c:pt idx="7">
                  <c:v>2032</c:v>
                </c:pt>
                <c:pt idx="8">
                  <c:v>2033</c:v>
                </c:pt>
                <c:pt idx="9">
                  <c:v>2034</c:v>
                </c:pt>
                <c:pt idx="10">
                  <c:v>2035</c:v>
                </c:pt>
                <c:pt idx="11">
                  <c:v>2036</c:v>
                </c:pt>
                <c:pt idx="12">
                  <c:v>2037</c:v>
                </c:pt>
                <c:pt idx="13">
                  <c:v>2038</c:v>
                </c:pt>
                <c:pt idx="14">
                  <c:v>2039</c:v>
                </c:pt>
                <c:pt idx="15">
                  <c:v>2040</c:v>
                </c:pt>
                <c:pt idx="16">
                  <c:v>2041</c:v>
                </c:pt>
                <c:pt idx="17">
                  <c:v>2042</c:v>
                </c:pt>
                <c:pt idx="18">
                  <c:v>2043</c:v>
                </c:pt>
                <c:pt idx="19">
                  <c:v>2044</c:v>
                </c:pt>
                <c:pt idx="20">
                  <c:v>2045</c:v>
                </c:pt>
                <c:pt idx="21">
                  <c:v>2046</c:v>
                </c:pt>
                <c:pt idx="22">
                  <c:v>2047</c:v>
                </c:pt>
                <c:pt idx="23">
                  <c:v>2048</c:v>
                </c:pt>
              </c:numCache>
            </c:numRef>
          </c:cat>
          <c:val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0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2.2200830922983137</c:v>
                </c:pt>
                <c:pt idx="1">
                  <c:v>1.779933506953068</c:v>
                </c:pt>
                <c:pt idx="2">
                  <c:v>1.779933506953068</c:v>
                </c:pt>
                <c:pt idx="3">
                  <c:v>1.779933506953068</c:v>
                </c:pt>
                <c:pt idx="4">
                  <c:v>2.7687587931386166</c:v>
                </c:pt>
                <c:pt idx="5">
                  <c:v>1.9616656049387098</c:v>
                </c:pt>
                <c:pt idx="6">
                  <c:v>0.54599923400693517</c:v>
                </c:pt>
                <c:pt idx="7">
                  <c:v>0</c:v>
                </c:pt>
                <c:pt idx="8">
                  <c:v>0.95060718564425828</c:v>
                </c:pt>
                <c:pt idx="9">
                  <c:v>0</c:v>
                </c:pt>
                <c:pt idx="10">
                  <c:v>0</c:v>
                </c:pt>
                <c:pt idx="11">
                  <c:v>2.7490781920788376</c:v>
                </c:pt>
                <c:pt idx="12">
                  <c:v>0</c:v>
                </c:pt>
                <c:pt idx="13">
                  <c:v>0</c:v>
                </c:pt>
                <c:pt idx="14">
                  <c:v>5.1759118027027018</c:v>
                </c:pt>
                <c:pt idx="15">
                  <c:v>4.8962469233353563</c:v>
                </c:pt>
                <c:pt idx="16">
                  <c:v>0.71861972621660419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5.5511716033962868</c:v>
                </c:pt>
                <c:pt idx="22">
                  <c:v>0</c:v>
                </c:pt>
                <c:pt idx="23">
                  <c:v>5.1759118027027018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58-4BAB-98C0-7C825455E233}"/>
            </c:ext>
          </c:extLst>
        </c:ser>
        <c:ser>
          <c:idx val="1"/>
          <c:order val="1"/>
          <c:tx>
            <c:v>Comercial</c:v>
          </c:tx>
          <c:spPr>
            <a:solidFill>
              <a:srgbClr val="636468"/>
            </a:solidFill>
            <a:ln>
              <a:noFill/>
            </a:ln>
            <a:effectLst/>
          </c:spPr>
          <c:invertIfNegative val="0"/>
          <c:cat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2024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2025</c:v>
                </c:pt>
                <c:pt idx="1">
                  <c:v>2026</c:v>
                </c:pt>
                <c:pt idx="2">
                  <c:v>2027</c:v>
                </c:pt>
                <c:pt idx="3">
                  <c:v>2028</c:v>
                </c:pt>
                <c:pt idx="4">
                  <c:v>2029</c:v>
                </c:pt>
                <c:pt idx="5">
                  <c:v>2030</c:v>
                </c:pt>
                <c:pt idx="6">
                  <c:v>2031</c:v>
                </c:pt>
                <c:pt idx="7">
                  <c:v>2032</c:v>
                </c:pt>
                <c:pt idx="8">
                  <c:v>2033</c:v>
                </c:pt>
                <c:pt idx="9">
                  <c:v>2034</c:v>
                </c:pt>
                <c:pt idx="10">
                  <c:v>2035</c:v>
                </c:pt>
                <c:pt idx="11">
                  <c:v>2036</c:v>
                </c:pt>
                <c:pt idx="12">
                  <c:v>2037</c:v>
                </c:pt>
                <c:pt idx="13">
                  <c:v>2038</c:v>
                </c:pt>
                <c:pt idx="14">
                  <c:v>2039</c:v>
                </c:pt>
                <c:pt idx="15">
                  <c:v>2040</c:v>
                </c:pt>
                <c:pt idx="16">
                  <c:v>2041</c:v>
                </c:pt>
                <c:pt idx="17">
                  <c:v>2042</c:v>
                </c:pt>
                <c:pt idx="18">
                  <c:v>2043</c:v>
                </c:pt>
                <c:pt idx="19">
                  <c:v>2044</c:v>
                </c:pt>
                <c:pt idx="20">
                  <c:v>2045</c:v>
                </c:pt>
                <c:pt idx="21">
                  <c:v>2046</c:v>
                </c:pt>
                <c:pt idx="22">
                  <c:v>2047</c:v>
                </c:pt>
                <c:pt idx="23">
                  <c:v>2048</c:v>
                </c:pt>
              </c:numCache>
            </c:numRef>
          </c:cat>
          <c:val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0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2.9283171051559824</c:v>
                </c:pt>
                <c:pt idx="1">
                  <c:v>4.2949863284753667</c:v>
                </c:pt>
                <c:pt idx="2">
                  <c:v>5.2135903926997891</c:v>
                </c:pt>
                <c:pt idx="3">
                  <c:v>6.4609841808429991</c:v>
                </c:pt>
                <c:pt idx="4">
                  <c:v>4.8770135987827485</c:v>
                </c:pt>
                <c:pt idx="5">
                  <c:v>4.8562479078342085</c:v>
                </c:pt>
                <c:pt idx="6">
                  <c:v>4.8424041138685165</c:v>
                </c:pt>
                <c:pt idx="7">
                  <c:v>4.6631907140038793</c:v>
                </c:pt>
                <c:pt idx="8">
                  <c:v>4.6149894090204118</c:v>
                </c:pt>
                <c:pt idx="9">
                  <c:v>3.9051104184462599</c:v>
                </c:pt>
                <c:pt idx="10">
                  <c:v>2.2197569940404538</c:v>
                </c:pt>
                <c:pt idx="11">
                  <c:v>1.3950257868620344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D58-4BAB-98C0-7C825455E233}"/>
            </c:ext>
          </c:extLst>
        </c:ser>
        <c:ser>
          <c:idx val="2"/>
          <c:order val="2"/>
          <c:tx>
            <c:v>Fomento y Gobierno</c:v>
          </c:tx>
          <c:spPr>
            <a:solidFill>
              <a:srgbClr val="EC9618"/>
            </a:solidFill>
            <a:ln>
              <a:noFill/>
            </a:ln>
            <a:effectLst/>
          </c:spPr>
          <c:invertIfNegative val="0"/>
          <c:cat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2024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2025</c:v>
                </c:pt>
                <c:pt idx="1">
                  <c:v>2026</c:v>
                </c:pt>
                <c:pt idx="2">
                  <c:v>2027</c:v>
                </c:pt>
                <c:pt idx="3">
                  <c:v>2028</c:v>
                </c:pt>
                <c:pt idx="4">
                  <c:v>2029</c:v>
                </c:pt>
                <c:pt idx="5">
                  <c:v>2030</c:v>
                </c:pt>
                <c:pt idx="6">
                  <c:v>2031</c:v>
                </c:pt>
                <c:pt idx="7">
                  <c:v>2032</c:v>
                </c:pt>
                <c:pt idx="8">
                  <c:v>2033</c:v>
                </c:pt>
                <c:pt idx="9">
                  <c:v>2034</c:v>
                </c:pt>
                <c:pt idx="10">
                  <c:v>2035</c:v>
                </c:pt>
                <c:pt idx="11">
                  <c:v>2036</c:v>
                </c:pt>
                <c:pt idx="12">
                  <c:v>2037</c:v>
                </c:pt>
                <c:pt idx="13">
                  <c:v>2038</c:v>
                </c:pt>
                <c:pt idx="14">
                  <c:v>2039</c:v>
                </c:pt>
                <c:pt idx="15">
                  <c:v>2040</c:v>
                </c:pt>
                <c:pt idx="16">
                  <c:v>2041</c:v>
                </c:pt>
                <c:pt idx="17">
                  <c:v>2042</c:v>
                </c:pt>
                <c:pt idx="18">
                  <c:v>2043</c:v>
                </c:pt>
                <c:pt idx="19">
                  <c:v>2044</c:v>
                </c:pt>
                <c:pt idx="20">
                  <c:v>2045</c:v>
                </c:pt>
                <c:pt idx="21">
                  <c:v>2046</c:v>
                </c:pt>
                <c:pt idx="22">
                  <c:v>2047</c:v>
                </c:pt>
                <c:pt idx="23">
                  <c:v>2048</c:v>
                </c:pt>
              </c:numCache>
            </c:numRef>
          </c:cat>
          <c:val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0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2.3267096173314111E-2</c:v>
                </c:pt>
                <c:pt idx="1">
                  <c:v>2.3267096173314111E-2</c:v>
                </c:pt>
                <c:pt idx="2">
                  <c:v>0.68612846057509236</c:v>
                </c:pt>
                <c:pt idx="3">
                  <c:v>0.6862087242797017</c:v>
                </c:pt>
                <c:pt idx="4">
                  <c:v>0.67726152051733735</c:v>
                </c:pt>
                <c:pt idx="5">
                  <c:v>0.66831431675497321</c:v>
                </c:pt>
                <c:pt idx="6">
                  <c:v>0.66831431675497321</c:v>
                </c:pt>
                <c:pt idx="7">
                  <c:v>0.66831431675497321</c:v>
                </c:pt>
                <c:pt idx="8">
                  <c:v>0.66831431675497321</c:v>
                </c:pt>
                <c:pt idx="9">
                  <c:v>0.66831431675497321</c:v>
                </c:pt>
                <c:pt idx="10">
                  <c:v>0.66831431675497321</c:v>
                </c:pt>
                <c:pt idx="11">
                  <c:v>5.452952353194972E-3</c:v>
                </c:pt>
                <c:pt idx="12">
                  <c:v>5.452952353194972E-3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D58-4BAB-98C0-7C825455E233}"/>
            </c:ext>
          </c:extLst>
        </c:ser>
        <c:ser>
          <c:idx val="3"/>
          <c:order val="3"/>
          <c:tx>
            <c:v>Multilateral</c:v>
          </c:tx>
          <c:spPr>
            <a:solidFill>
              <a:srgbClr val="E25E1A"/>
            </a:solidFill>
            <a:ln>
              <a:noFill/>
            </a:ln>
            <a:effectLst/>
          </c:spPr>
          <c:invertIfNegative val="0"/>
          <c:cat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2024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2025</c:v>
                </c:pt>
                <c:pt idx="1">
                  <c:v>2026</c:v>
                </c:pt>
                <c:pt idx="2">
                  <c:v>2027</c:v>
                </c:pt>
                <c:pt idx="3">
                  <c:v>2028</c:v>
                </c:pt>
                <c:pt idx="4">
                  <c:v>2029</c:v>
                </c:pt>
                <c:pt idx="5">
                  <c:v>2030</c:v>
                </c:pt>
                <c:pt idx="6">
                  <c:v>2031</c:v>
                </c:pt>
                <c:pt idx="7">
                  <c:v>2032</c:v>
                </c:pt>
                <c:pt idx="8">
                  <c:v>2033</c:v>
                </c:pt>
                <c:pt idx="9">
                  <c:v>2034</c:v>
                </c:pt>
                <c:pt idx="10">
                  <c:v>2035</c:v>
                </c:pt>
                <c:pt idx="11">
                  <c:v>2036</c:v>
                </c:pt>
                <c:pt idx="12">
                  <c:v>2037</c:v>
                </c:pt>
                <c:pt idx="13">
                  <c:v>2038</c:v>
                </c:pt>
                <c:pt idx="14">
                  <c:v>2039</c:v>
                </c:pt>
                <c:pt idx="15">
                  <c:v>2040</c:v>
                </c:pt>
                <c:pt idx="16">
                  <c:v>2041</c:v>
                </c:pt>
                <c:pt idx="17">
                  <c:v>2042</c:v>
                </c:pt>
                <c:pt idx="18">
                  <c:v>2043</c:v>
                </c:pt>
                <c:pt idx="19">
                  <c:v>2044</c:v>
                </c:pt>
                <c:pt idx="20">
                  <c:v>2045</c:v>
                </c:pt>
                <c:pt idx="21">
                  <c:v>2046</c:v>
                </c:pt>
                <c:pt idx="22">
                  <c:v>2047</c:v>
                </c:pt>
                <c:pt idx="23">
                  <c:v>2048</c:v>
                </c:pt>
              </c:numCache>
            </c:numRef>
          </c:cat>
          <c:val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0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0.864303548099144</c:v>
                </c:pt>
                <c:pt idx="1">
                  <c:v>0.55925049969489748</c:v>
                </c:pt>
                <c:pt idx="2">
                  <c:v>0.55925049969489748</c:v>
                </c:pt>
                <c:pt idx="3">
                  <c:v>0.55925049969489748</c:v>
                </c:pt>
                <c:pt idx="4">
                  <c:v>0.55925049969489748</c:v>
                </c:pt>
                <c:pt idx="5">
                  <c:v>0.55925049969489748</c:v>
                </c:pt>
                <c:pt idx="6">
                  <c:v>0.55925049969489748</c:v>
                </c:pt>
                <c:pt idx="7">
                  <c:v>0.44593243980843039</c:v>
                </c:pt>
                <c:pt idx="8">
                  <c:v>0.44593243980843039</c:v>
                </c:pt>
                <c:pt idx="9">
                  <c:v>0.44593243980843039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D58-4BAB-98C0-7C825455E2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5"/>
        <c:overlap val="100"/>
        <c:axId val="658066992"/>
        <c:axId val="658066512"/>
      </c:barChart>
      <c:lineChart>
        <c:grouping val="standard"/>
        <c:varyColors val="0"/>
        <c:ser>
          <c:idx val="4"/>
          <c:order val="4"/>
          <c:tx>
            <c:v>Total</c:v>
          </c:tx>
          <c:spPr>
            <a:ln w="28575" cap="rnd">
              <a:noFill/>
              <a:round/>
            </a:ln>
            <a:effectLst/>
          </c:spPr>
          <c:marker>
            <c:symbol val="none"/>
          </c:marker>
          <c:dLbls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D58-4BAB-98C0-7C825455E233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D58-4BAB-98C0-7C825455E233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D58-4BAB-98C0-7C825455E233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D58-4BAB-98C0-7C825455E233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D58-4BAB-98C0-7C825455E233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D58-4BAB-98C0-7C825455E233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8D58-4BAB-98C0-7C825455E23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100" b="1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2024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2025</c:v>
                </c:pt>
                <c:pt idx="1">
                  <c:v>2026</c:v>
                </c:pt>
                <c:pt idx="2">
                  <c:v>2027</c:v>
                </c:pt>
                <c:pt idx="3">
                  <c:v>2028</c:v>
                </c:pt>
                <c:pt idx="4">
                  <c:v>2029</c:v>
                </c:pt>
                <c:pt idx="5">
                  <c:v>2030</c:v>
                </c:pt>
                <c:pt idx="6">
                  <c:v>2031</c:v>
                </c:pt>
                <c:pt idx="7">
                  <c:v>2032</c:v>
                </c:pt>
                <c:pt idx="8">
                  <c:v>2033</c:v>
                </c:pt>
                <c:pt idx="9">
                  <c:v>2034</c:v>
                </c:pt>
                <c:pt idx="10">
                  <c:v>2035</c:v>
                </c:pt>
                <c:pt idx="11">
                  <c:v>2036</c:v>
                </c:pt>
                <c:pt idx="12">
                  <c:v>2037</c:v>
                </c:pt>
                <c:pt idx="13">
                  <c:v>2038</c:v>
                </c:pt>
                <c:pt idx="14">
                  <c:v>2039</c:v>
                </c:pt>
                <c:pt idx="15">
                  <c:v>2040</c:v>
                </c:pt>
                <c:pt idx="16">
                  <c:v>2041</c:v>
                </c:pt>
                <c:pt idx="17">
                  <c:v>2042</c:v>
                </c:pt>
                <c:pt idx="18">
                  <c:v>2043</c:v>
                </c:pt>
                <c:pt idx="19">
                  <c:v>2044</c:v>
                </c:pt>
                <c:pt idx="20">
                  <c:v>2045</c:v>
                </c:pt>
                <c:pt idx="21">
                  <c:v>2046</c:v>
                </c:pt>
                <c:pt idx="22">
                  <c:v>2047</c:v>
                </c:pt>
                <c:pt idx="23">
                  <c:v>2048</c:v>
                </c:pt>
              </c:numCache>
            </c:numRef>
          </c:cat>
          <c:val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0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6.0359708417267548</c:v>
                </c:pt>
                <c:pt idx="1">
                  <c:v>6.6574374312966462</c:v>
                </c:pt>
                <c:pt idx="2">
                  <c:v>8.2389028599228471</c:v>
                </c:pt>
                <c:pt idx="3">
                  <c:v>9.486376911770666</c:v>
                </c:pt>
                <c:pt idx="4">
                  <c:v>8.8822844121335987</c:v>
                </c:pt>
                <c:pt idx="5">
                  <c:v>8.0454783292227905</c:v>
                </c:pt>
                <c:pt idx="6">
                  <c:v>6.6159681643253228</c:v>
                </c:pt>
                <c:pt idx="7">
                  <c:v>5.7774374705672829</c:v>
                </c:pt>
                <c:pt idx="8">
                  <c:v>6.6798433512280724</c:v>
                </c:pt>
                <c:pt idx="9">
                  <c:v>5.0193571750096639</c:v>
                </c:pt>
                <c:pt idx="10">
                  <c:v>2.8880713107954268</c:v>
                </c:pt>
                <c:pt idx="11">
                  <c:v>4.1495569312940672</c:v>
                </c:pt>
                <c:pt idx="12">
                  <c:v>5.452952353194972E-3</c:v>
                </c:pt>
                <c:pt idx="13">
                  <c:v>0</c:v>
                </c:pt>
                <c:pt idx="14">
                  <c:v>5.1759118027027018</c:v>
                </c:pt>
                <c:pt idx="15">
                  <c:v>4.8962469233353563</c:v>
                </c:pt>
                <c:pt idx="16">
                  <c:v>0.71861972621660419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5.5511716033962868</c:v>
                </c:pt>
                <c:pt idx="22">
                  <c:v>0</c:v>
                </c:pt>
                <c:pt idx="23">
                  <c:v>5.1759118027027018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8D58-4BAB-98C0-7C825455E2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58066992"/>
        <c:axId val="658066512"/>
      </c:lineChart>
      <c:catAx>
        <c:axId val="658066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58066512"/>
        <c:crosses val="autoZero"/>
        <c:auto val="1"/>
        <c:lblAlgn val="ctr"/>
        <c:lblOffset val="100"/>
        <c:noMultiLvlLbl val="0"/>
      </c:catAx>
      <c:valAx>
        <c:axId val="658066512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1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s-CO" b="1"/>
                  <a:t>% Del</a:t>
                </a:r>
                <a:r>
                  <a:rPr lang="es-CO" b="1" baseline="0"/>
                  <a:t> Saldo Total</a:t>
                </a:r>
                <a:endParaRPr lang="es-CO" b="1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1" i="0" u="none" strike="noStrike" kern="1200" baseline="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s-CO"/>
            </a:p>
          </c:txPr>
        </c:title>
        <c:numFmt formatCode="#,##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5806699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sz="1100" b="1" i="0" u="none" strike="noStrike" kern="1200" baseline="0">
                <a:solidFill>
                  <a:srgbClr val="343E4D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</c:legendEntry>
      <c:legendEntry>
        <c:idx val="1"/>
        <c:txPr>
          <a:bodyPr rot="0" spcFirstLastPara="1" vertOverflow="ellipsis" vert="horz" wrap="square" anchor="ctr" anchorCtr="1"/>
          <a:lstStyle/>
          <a:p>
            <a:pPr>
              <a:defRPr sz="1100" b="1" i="0" u="none" strike="noStrike" kern="1200" baseline="0">
                <a:solidFill>
                  <a:srgbClr val="636468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</c:legendEntry>
      <c:legendEntry>
        <c:idx val="2"/>
        <c:txPr>
          <a:bodyPr rot="0" spcFirstLastPara="1" vertOverflow="ellipsis" vert="horz" wrap="square" anchor="ctr" anchorCtr="1"/>
          <a:lstStyle/>
          <a:p>
            <a:pPr>
              <a:defRPr sz="1100" b="1" i="0" u="none" strike="noStrike" kern="1200" baseline="0">
                <a:solidFill>
                  <a:srgbClr val="EC9618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</c:legendEntry>
      <c:legendEntry>
        <c:idx val="3"/>
        <c:txPr>
          <a:bodyPr rot="0" spcFirstLastPara="1" vertOverflow="ellipsis" vert="horz" wrap="square" anchor="ctr" anchorCtr="1"/>
          <a:lstStyle/>
          <a:p>
            <a:pPr>
              <a:defRPr sz="1100" b="1" i="0" u="none" strike="noStrike" kern="1200" baseline="0">
                <a:solidFill>
                  <a:srgbClr val="E25E1A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</c:legendEntry>
      <c:legendEntry>
        <c:idx val="4"/>
        <c:delete val="1"/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1100" b="0">
          <a:solidFill>
            <a:schemeClr val="tx1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latin typeface="Corbel" panose="020B0503020204020204" pitchFamily="34" charset="0"/>
              </a:defRPr>
            </a:pPr>
            <a:r>
              <a:rPr lang="es-ES" sz="1400">
                <a:latin typeface="Corbel" panose="020B0503020204020204" pitchFamily="34" charset="0"/>
              </a:rPr>
              <a:t>COMPOSICIÓN</a:t>
            </a:r>
            <a:r>
              <a:rPr lang="es-ES" sz="1400" baseline="0">
                <a:latin typeface="Corbel" panose="020B0503020204020204" pitchFamily="34" charset="0"/>
              </a:rPr>
              <a:t> POR TIPO DE ENDEUDAMIENTO</a:t>
            </a:r>
            <a:endParaRPr lang="es-ES" sz="1400">
              <a:latin typeface="Corbel" panose="020B0503020204020204" pitchFamily="34" charset="0"/>
            </a:endParaRPr>
          </a:p>
        </c:rich>
      </c:tx>
      <c:layout>
        <c:manualLayout>
          <c:xMode val="edge"/>
          <c:yMode val="edge"/>
          <c:x val="0.17696825396825394"/>
          <c:y val="3.992901234567901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5845734126984127"/>
          <c:y val="0.1914533950617284"/>
          <c:w val="0.51358571428571431"/>
          <c:h val="0.79891111111111113"/>
        </c:manualLayout>
      </c:layout>
      <c:pieChart>
        <c:varyColors val="1"/>
        <c:ser>
          <c:idx val="0"/>
          <c:order val="0"/>
          <c:spPr>
            <a:solidFill>
              <a:srgbClr val="66FFFF"/>
            </a:solidFill>
            <a:ln>
              <a:noFill/>
            </a:ln>
          </c:spPr>
          <c:explosion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5C19-4632-9BC1-89B746A09CF1}"/>
              </c:ext>
            </c:extLst>
          </c:dPt>
          <c:dPt>
            <c:idx val="1"/>
            <c:bubble3D val="0"/>
            <c:spPr>
              <a:solidFill>
                <a:srgbClr val="8192AA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5C19-4632-9BC1-89B746A09CF1}"/>
              </c:ext>
            </c:extLst>
          </c:dPt>
          <c:dPt>
            <c:idx val="2"/>
            <c:bubble3D val="0"/>
            <c:spPr>
              <a:solidFill>
                <a:srgbClr val="343E4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5C19-4632-9BC1-89B746A09CF1}"/>
              </c:ext>
            </c:extLst>
          </c:dPt>
          <c:dLbls>
            <c:dLbl>
              <c:idx val="0"/>
              <c:layout>
                <c:manualLayout>
                  <c:x val="-6.0836662960292928E-2"/>
                  <c:y val="0.24377108964489921"/>
                </c:manualLayout>
              </c:layout>
              <c:tx>
                <c:rich>
                  <a:bodyPr wrap="square" lIns="38100" tIns="19050" rIns="38100" bIns="19050" anchor="ctr">
                    <a:spAutoFit/>
                  </a:bodyPr>
                  <a:lstStyle/>
                  <a:p>
                    <a:pPr>
                      <a:defRPr sz="980" b="1" baseline="0">
                        <a:solidFill>
                          <a:schemeClr val="bg1"/>
                        </a:solidFill>
                      </a:defRPr>
                    </a:pPr>
                    <a:fld id="{8FEDB9C2-3D5F-492F-AD07-490D35AE5C3C}" type="CATEGORYNAME">
                      <a:rPr lang="en-US">
                        <a:solidFill>
                          <a:schemeClr val="bg1"/>
                        </a:solidFill>
                      </a:rPr>
                      <a:pPr>
                        <a:defRPr sz="980" b="1" baseline="0">
                          <a:solidFill>
                            <a:schemeClr val="bg1"/>
                          </a:solidFill>
                        </a:defRPr>
                      </a:pPr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 </a:t>
                    </a:r>
                    <a:fld id="{34E8AF62-4E4D-4386-A13B-418B4340E3B0}" type="VALUE">
                      <a:rPr lang="en-US" baseline="0">
                        <a:solidFill>
                          <a:schemeClr val="bg1"/>
                        </a:solidFill>
                      </a:rPr>
                      <a:pPr>
                        <a:defRPr sz="980" b="1" baseline="0">
                          <a:solidFill>
                            <a:schemeClr val="bg1"/>
                          </a:solidFill>
                        </a:defRPr>
                      </a:pPr>
                      <a:t>[VALOR]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5C19-4632-9BC1-89B746A09CF1}"/>
                </c:ext>
              </c:extLst>
            </c:dLbl>
            <c:dLbl>
              <c:idx val="1"/>
              <c:layout>
                <c:manualLayout>
                  <c:x val="1.1622638204974592E-2"/>
                  <c:y val="-6.2984257606653618E-2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 sz="980" b="1" baseline="0">
                        <a:solidFill>
                          <a:schemeClr val="tx1"/>
                        </a:solidFill>
                      </a:defRPr>
                    </a:pPr>
                    <a:fld id="{42FA6756-7D19-486E-BF9A-78A33D8495B1}" type="CATEGORYNAME">
                      <a:rPr lang="en-US">
                        <a:solidFill>
                          <a:schemeClr val="tx1"/>
                        </a:solidFill>
                      </a:rPr>
                      <a:pPr>
                        <a:defRPr sz="980" b="1" baseline="0">
                          <a:solidFill>
                            <a:schemeClr val="tx1"/>
                          </a:solidFill>
                        </a:defRPr>
                      </a:pPr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 </a:t>
                    </a:r>
                    <a:fld id="{B4CD95EA-3879-4CF2-9DC3-6FA490E8468D}" type="VALUE">
                      <a:rPr lang="en-US" baseline="0">
                        <a:solidFill>
                          <a:schemeClr val="tx1"/>
                        </a:solidFill>
                      </a:rPr>
                      <a:pPr>
                        <a:defRPr sz="980" b="1" baseline="0">
                          <a:solidFill>
                            <a:schemeClr val="tx1"/>
                          </a:solidFill>
                        </a:defRPr>
                      </a:pPr>
                      <a:t>[VALOR]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9056091269841267"/>
                      <c:h val="0.12099845679012346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5C19-4632-9BC1-89B746A09CF1}"/>
                </c:ext>
              </c:extLst>
            </c:dLbl>
            <c:dLbl>
              <c:idx val="2"/>
              <c:layout>
                <c:manualLayout>
                  <c:x val="2.5918854852702192E-2"/>
                  <c:y val="-3.9496467460825677E-2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 sz="980" b="1" baseline="0">
                        <a:solidFill>
                          <a:srgbClr val="343E4D"/>
                        </a:solidFill>
                      </a:defRPr>
                    </a:pPr>
                    <a:fld id="{2317D3B4-C1BA-4C0D-886A-166A4A918C73}" type="CATEGORYNAME">
                      <a:rPr lang="en-US">
                        <a:solidFill>
                          <a:srgbClr val="343E4D"/>
                        </a:solidFill>
                      </a:rPr>
                      <a:pPr>
                        <a:defRPr sz="980" b="1" baseline="0">
                          <a:solidFill>
                            <a:srgbClr val="343E4D"/>
                          </a:solidFill>
                        </a:defRPr>
                      </a:pPr>
                      <a:t>[NOMBRE DE CATEGORÍA]</a:t>
                    </a:fld>
                    <a:br>
                      <a:rPr lang="en-US" baseline="0">
                        <a:solidFill>
                          <a:srgbClr val="343E4D"/>
                        </a:solidFill>
                      </a:rPr>
                    </a:br>
                    <a:r>
                      <a:rPr lang="en-US" baseline="0">
                        <a:solidFill>
                          <a:srgbClr val="343E4D"/>
                        </a:solidFill>
                      </a:rPr>
                      <a:t> </a:t>
                    </a:r>
                    <a:fld id="{5BFB81EA-C569-4A25-9AB9-060F250268F9}" type="VALUE">
                      <a:rPr lang="en-US" baseline="0">
                        <a:solidFill>
                          <a:srgbClr val="343E4D"/>
                        </a:solidFill>
                      </a:rPr>
                      <a:pPr>
                        <a:defRPr sz="980" b="1" baseline="0">
                          <a:solidFill>
                            <a:srgbClr val="343E4D"/>
                          </a:solidFill>
                        </a:defRPr>
                      </a:pPr>
                      <a:t>[VALOR]</a:t>
                    </a:fld>
                    <a:endParaRPr lang="en-US" baseline="0">
                      <a:solidFill>
                        <a:srgbClr val="343E4D"/>
                      </a:solidFill>
                    </a:endParaRPr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35499729149611"/>
                      <c:h val="0.13571005778316703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5C19-4632-9BC1-89B746A09CF1}"/>
                </c:ext>
              </c:extLst>
            </c:dLbl>
            <c:dLbl>
              <c:idx val="3"/>
              <c:layout>
                <c:manualLayout>
                  <c:x val="-9.8332964873370329E-2"/>
                  <c:y val="0.1374795133874735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C19-4632-9BC1-89B746A09CF1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80" b="1" baseline="0"/>
                </a:pPr>
                <a:endParaRPr lang="es-CO"/>
              </a:p>
            </c:txPr>
            <c:dLblPos val="outEnd"/>
            <c:showLegendKey val="0"/>
            <c:showVal val="1"/>
            <c:showCatName val="1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INTERNO</c:v>
              </c:pt>
              <c:pt idx="1">
                <c:v>EXTERNO EN PESOS</c:v>
              </c:pt>
              <c:pt idx="2">
                <c:v>EXTERNO</c:v>
              </c:pt>
            </c:strLit>
          </c:cat>
          <c:val>
            <c:numLit>
              <c:formatCode>0.0%</c:formatCode>
              <c:ptCount val="3"/>
              <c:pt idx="0">
                <c:v>0.76832873592406159</c:v>
              </c:pt>
              <c:pt idx="1">
                <c:v>0.2191767451664533</c:v>
              </c:pt>
              <c:pt idx="2">
                <c:v>1.2494518909485068E-2</c:v>
              </c:pt>
            </c:numLit>
          </c:val>
          <c:extLst>
            <c:ext xmlns:c16="http://schemas.microsoft.com/office/drawing/2014/chart" uri="{C3380CC4-5D6E-409C-BE32-E72D297353CC}">
              <c16:uniqueId val="{00000007-5C19-4632-9BC1-89B746A09C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226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 rot="540000"/>
    <a:lstStyle/>
    <a:p>
      <a:pPr>
        <a:defRPr sz="800">
          <a:latin typeface="Arial" pitchFamily="34" charset="0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/>
            </a:pPr>
            <a:r>
              <a:rPr lang="es-ES" sz="1400" b="1">
                <a:solidFill>
                  <a:schemeClr val="tx1"/>
                </a:solidFill>
              </a:rPr>
              <a:t>COMPOSICIÓN DE FUENTES</a:t>
            </a:r>
          </a:p>
        </c:rich>
      </c:tx>
      <c:layout>
        <c:manualLayout>
          <c:xMode val="edge"/>
          <c:yMode val="edge"/>
          <c:x val="0.28168275356597122"/>
          <c:y val="6.1305812987848235E-2"/>
        </c:manualLayout>
      </c:layout>
      <c:overlay val="0"/>
      <c:spPr>
        <a:noFill/>
      </c:spPr>
    </c:title>
    <c:autoTitleDeleted val="0"/>
    <c:plotArea>
      <c:layout>
        <c:manualLayout>
          <c:layoutTarget val="inner"/>
          <c:xMode val="edge"/>
          <c:yMode val="edge"/>
          <c:x val="0.22718730158730158"/>
          <c:y val="0.192575"/>
          <c:w val="0.50516845238095243"/>
          <c:h val="0.78581759259259254"/>
        </c:manualLayout>
      </c:layout>
      <c:pieChart>
        <c:varyColors val="1"/>
        <c:ser>
          <c:idx val="0"/>
          <c:order val="0"/>
          <c:spPr>
            <a:solidFill>
              <a:srgbClr val="CA1D25"/>
            </a:solidFill>
            <a:ln>
              <a:noFill/>
            </a:ln>
          </c:spPr>
          <c:explosion val="1"/>
          <c:dPt>
            <c:idx val="0"/>
            <c:bubble3D val="0"/>
            <c:spPr>
              <a:solidFill>
                <a:srgbClr val="343E4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164A-4354-B8FB-7A260577360F}"/>
              </c:ext>
            </c:extLst>
          </c:dPt>
          <c:dPt>
            <c:idx val="1"/>
            <c:bubble3D val="0"/>
            <c:spPr>
              <a:solidFill>
                <a:srgbClr val="8E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164A-4354-B8FB-7A260577360F}"/>
              </c:ext>
            </c:extLst>
          </c:dPt>
          <c:dPt>
            <c:idx val="2"/>
            <c:bubble3D val="0"/>
            <c:spPr>
              <a:solidFill>
                <a:srgbClr val="636468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164A-4354-B8FB-7A260577360F}"/>
              </c:ext>
            </c:extLst>
          </c:dPt>
          <c:dPt>
            <c:idx val="3"/>
            <c:bubble3D val="0"/>
            <c:spPr>
              <a:solidFill>
                <a:srgbClr val="EC9618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7-164A-4354-B8FB-7A260577360F}"/>
              </c:ext>
            </c:extLst>
          </c:dPt>
          <c:dPt>
            <c:idx val="4"/>
            <c:bubble3D val="0"/>
            <c:spPr>
              <a:solidFill>
                <a:srgbClr val="216869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9-164A-4354-B8FB-7A260577360F}"/>
              </c:ext>
            </c:extLst>
          </c:dPt>
          <c:dLbls>
            <c:dLbl>
              <c:idx val="0"/>
              <c:layout>
                <c:manualLayout>
                  <c:x val="-9.9723458985925315E-2"/>
                  <c:y val="-0.13603966049382715"/>
                </c:manualLayout>
              </c:layout>
              <c:tx>
                <c:rich>
                  <a:bodyPr wrap="square" lIns="38100" tIns="19050" rIns="38100" bIns="19050" anchor="ctr">
                    <a:spAutoFit/>
                  </a:bodyPr>
                  <a:lstStyle/>
                  <a:p>
                    <a:pPr>
                      <a:defRPr>
                        <a:solidFill>
                          <a:schemeClr val="bg1"/>
                        </a:solidFill>
                      </a:defRPr>
                    </a:pPr>
                    <a:fld id="{B39FF096-E050-4972-B24B-43A8AD8BD22F}" type="CATEGORYNAME">
                      <a:rPr lang="en-US">
                        <a:solidFill>
                          <a:schemeClr val="bg1"/>
                        </a:solidFill>
                      </a:rPr>
                      <a:pPr>
                        <a:defRPr>
                          <a:solidFill>
                            <a:schemeClr val="bg1"/>
                          </a:solidFill>
                        </a:defRPr>
                      </a:pPr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 </a:t>
                    </a:r>
                    <a:fld id="{3033E0C3-C5A3-4F5B-A807-E7492CFCFC92}" type="VALUE">
                      <a:rPr lang="en-US" baseline="0">
                        <a:solidFill>
                          <a:schemeClr val="bg1"/>
                        </a:solidFill>
                      </a:rPr>
                      <a:pPr>
                        <a:defRPr>
                          <a:solidFill>
                            <a:schemeClr val="bg1"/>
                          </a:solidFill>
                        </a:defRPr>
                      </a:pPr>
                      <a:t>[VALOR]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6849177822265674"/>
                      <c:h val="0.17452680067695803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164A-4354-B8FB-7A260577360F}"/>
                </c:ext>
              </c:extLst>
            </c:dLbl>
            <c:dLbl>
              <c:idx val="1"/>
              <c:layout>
                <c:manualLayout>
                  <c:x val="-4.5119798666959279E-3"/>
                  <c:y val="3.7212025442131667E-2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>
                      <a:solidFill>
                        <a:srgbClr val="8E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4285738947295735"/>
                      <c:h val="0.2010255940941398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164A-4354-B8FB-7A260577360F}"/>
                </c:ext>
              </c:extLst>
            </c:dLbl>
            <c:dLbl>
              <c:idx val="2"/>
              <c:layout>
                <c:manualLayout>
                  <c:x val="0.14673611395518008"/>
                  <c:y val="0.27934922839506171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>
                        <a:solidFill>
                          <a:schemeClr val="bg1"/>
                        </a:solidFill>
                      </a:defRPr>
                    </a:pPr>
                    <a:fld id="{CEC438CB-4EB4-49AB-99E5-1A94F4E020A7}" type="CATEGORYNAME">
                      <a:rPr lang="en-US"/>
                      <a:pPr>
                        <a:defRPr>
                          <a:solidFill>
                            <a:schemeClr val="bg1"/>
                          </a:solidFill>
                        </a:defRPr>
                      </a:pPr>
                      <a:t>[NOMBRE DE CATEGORÍA]</a:t>
                    </a:fld>
                    <a:r>
                      <a:rPr lang="en-US"/>
                      <a:t> INTERNA</a:t>
                    </a:r>
                    <a:r>
                      <a:rPr lang="en-US" baseline="0"/>
                      <a:t>
</a:t>
                    </a:r>
                    <a:fld id="{AF546181-A420-4DFC-BBB8-F46B7AB6345E}" type="VALUE">
                      <a:rPr lang="en-US" baseline="0"/>
                      <a:pPr>
                        <a:defRPr>
                          <a:solidFill>
                            <a:schemeClr val="bg1"/>
                          </a:solidFill>
                        </a:defRPr>
                      </a:pPr>
                      <a:t>[VALOR]</a:t>
                    </a:fld>
                    <a:endParaRPr lang="en-US" baseline="0"/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4519255962729955"/>
                      <c:h val="0.1799316677343582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164A-4354-B8FB-7A260577360F}"/>
                </c:ext>
              </c:extLst>
            </c:dLbl>
            <c:dLbl>
              <c:idx val="3"/>
              <c:layout>
                <c:manualLayout>
                  <c:x val="-4.3133962473892356E-3"/>
                  <c:y val="5.7478395061728391E-3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>
                      <a:solidFill>
                        <a:srgbClr val="EC9618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8765492049933394"/>
                      <c:h val="0.1772459876543209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164A-4354-B8FB-7A260577360F}"/>
                </c:ext>
              </c:extLst>
            </c:dLbl>
            <c:dLbl>
              <c:idx val="4"/>
              <c:layout>
                <c:manualLayout>
                  <c:x val="-2.5267033697830119E-3"/>
                  <c:y val="3.8516666666666595E-2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>
                      <a:solidFill>
                        <a:srgbClr val="216869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1618234126984123"/>
                      <c:h val="0.2664697530864197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164A-4354-B8FB-7A260577360F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5"/>
              <c:pt idx="0">
                <c:v>BONOS</c:v>
              </c:pt>
              <c:pt idx="1">
                <c:v>MULTILATERAL</c:v>
              </c:pt>
              <c:pt idx="2">
                <c:v>COMERCIAL</c:v>
              </c:pt>
              <c:pt idx="3">
                <c:v>FOMENTO Y GOBIERNO</c:v>
              </c:pt>
              <c:pt idx="4">
                <c:v>COMERCIAL EXTERNA</c:v>
              </c:pt>
            </c:strLit>
          </c:cat>
          <c:val>
            <c:numLit>
              <c:formatCode>0.0%</c:formatCode>
              <c:ptCount val="5"/>
              <c:pt idx="0">
                <c:v>0.38053854481318528</c:v>
              </c:pt>
              <c:pt idx="1">
                <c:v>5.5576038656938234E-2</c:v>
              </c:pt>
              <c:pt idx="2">
                <c:v>0.44118819631946854</c:v>
              </c:pt>
              <c:pt idx="3">
                <c:v>6.1169247029549907E-2</c:v>
              </c:pt>
              <c:pt idx="4">
                <c:v>6.1527973180858175E-2</c:v>
              </c:pt>
            </c:numLit>
          </c:val>
          <c:extLst>
            <c:ext xmlns:c16="http://schemas.microsoft.com/office/drawing/2014/chart" uri="{C3380CC4-5D6E-409C-BE32-E72D297353CC}">
              <c16:uniqueId val="{0000000A-164A-4354-B8FB-7A26057736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99"/>
      </c:pieChart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100" b="1">
          <a:latin typeface="Arial" pitchFamily="34" charset="0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030416666666667"/>
          <c:y val="0.18735092592592592"/>
          <c:w val="0.50583253968253961"/>
          <c:h val="0.78685061728395045"/>
        </c:manualLayout>
      </c:layout>
      <c:pieChart>
        <c:varyColors val="1"/>
        <c:ser>
          <c:idx val="0"/>
          <c:order val="0"/>
          <c:spPr>
            <a:solidFill>
              <a:srgbClr val="6D3B47"/>
            </a:solidFill>
            <a:ln>
              <a:noFill/>
            </a:ln>
          </c:spPr>
          <c:explosion val="1"/>
          <c:dPt>
            <c:idx val="0"/>
            <c:bubble3D val="0"/>
            <c:spPr>
              <a:solidFill>
                <a:srgbClr val="1D3557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975D-4D73-817B-5130B469B23B}"/>
              </c:ext>
            </c:extLst>
          </c:dPt>
          <c:dPt>
            <c:idx val="1"/>
            <c:bubble3D val="0"/>
            <c:spPr>
              <a:solidFill>
                <a:schemeClr val="bg1">
                  <a:lumMod val="5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975D-4D73-817B-5130B469B23B}"/>
              </c:ext>
            </c:extLst>
          </c:dPt>
          <c:dPt>
            <c:idx val="2"/>
            <c:bubble3D val="0"/>
            <c:spPr>
              <a:solidFill>
                <a:srgbClr val="457B9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975D-4D73-817B-5130B469B23B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6-975D-4D73-817B-5130B469B23B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07-975D-4D73-817B-5130B469B23B}"/>
              </c:ext>
            </c:extLst>
          </c:dPt>
          <c:dLbls>
            <c:dLbl>
              <c:idx val="0"/>
              <c:layout>
                <c:manualLayout>
                  <c:x val="1.8099101745110997E-2"/>
                  <c:y val="-0.2288621296088327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75D-4D73-817B-5130B469B23B}"/>
                </c:ext>
              </c:extLst>
            </c:dLbl>
            <c:dLbl>
              <c:idx val="1"/>
              <c:layout>
                <c:manualLayout>
                  <c:x val="7.7069444444444442E-3"/>
                  <c:y val="0.21103765432098764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>
                      <a:solidFill>
                        <a:schemeClr val="tx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75D-4D73-817B-5130B469B23B}"/>
                </c:ext>
              </c:extLst>
            </c:dLbl>
            <c:dLbl>
              <c:idx val="2"/>
              <c:layout>
                <c:manualLayout>
                  <c:x val="-8.4958921767791726E-3"/>
                  <c:y val="-7.6332705350990182E-3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>
                      <a:solidFill>
                        <a:srgbClr val="457B9D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75D-4D73-817B-5130B469B23B}"/>
                </c:ext>
              </c:extLst>
            </c:dLbl>
            <c:dLbl>
              <c:idx val="3"/>
              <c:layout>
                <c:manualLayout>
                  <c:x val="5.6601998568443822E-3"/>
                  <c:y val="9.0527891546358319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13160342495165517"/>
                      <c:h val="0.1400784125431317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975D-4D73-817B-5130B469B23B}"/>
                </c:ext>
              </c:extLst>
            </c:dLbl>
            <c:dLbl>
              <c:idx val="4"/>
              <c:layout>
                <c:manualLayout>
                  <c:x val="3.4615924307226306E-2"/>
                  <c:y val="8.9740825813024505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75D-4D73-817B-5130B469B23B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4"/>
              <c:pt idx="0">
                <c:v>COP</c:v>
              </c:pt>
              <c:pt idx="1">
                <c:v>UVR</c:v>
              </c:pt>
              <c:pt idx="2">
                <c:v>USD</c:v>
              </c:pt>
              <c:pt idx="3">
                <c:v>EUR</c:v>
              </c:pt>
            </c:strLit>
          </c:cat>
          <c:val>
            <c:numLit>
              <c:formatCode>0.0%</c:formatCode>
              <c:ptCount val="4"/>
              <c:pt idx="0">
                <c:v>0.74483608058619011</c:v>
              </c:pt>
              <c:pt idx="1">
                <c:v>0.24266940050432484</c:v>
              </c:pt>
              <c:pt idx="2">
                <c:v>1.1788043014707948E-2</c:v>
              </c:pt>
              <c:pt idx="3">
                <c:v>7.0647589477706931E-4</c:v>
              </c:pt>
            </c:numLit>
          </c:val>
          <c:extLst>
            <c:ext xmlns:c16="http://schemas.microsoft.com/office/drawing/2014/chart" uri="{C3380CC4-5D6E-409C-BE32-E72D297353CC}">
              <c16:uniqueId val="{00000008-975D-4D73-817B-5130B469B2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52"/>
      </c:pieChart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100" b="1">
          <a:latin typeface="Arial" pitchFamily="34" charset="0"/>
          <a:cs typeface="Arial" pitchFamily="34" charset="0"/>
        </a:defRPr>
      </a:pPr>
      <a:endParaRPr lang="es-CO"/>
    </a:p>
  </c:txPr>
  <c:printSettings>
    <c:headerFooter/>
    <c:pageMargins b="0.75000000000000699" l="0.70000000000000062" r="0.70000000000000062" t="0.75000000000000699" header="0.30000000000000032" footer="0.30000000000000032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GB" sz="1400" b="1" i="0" u="none" strike="noStrike" baseline="0">
                <a:solidFill>
                  <a:srgbClr val="000000"/>
                </a:solidFill>
                <a:latin typeface="Arial" pitchFamily="34" charset="0"/>
                <a:ea typeface="Verdana"/>
                <a:cs typeface="Arial" pitchFamily="34" charset="0"/>
              </a:defRPr>
            </a:pPr>
            <a:r>
              <a:rPr lang="es-ES" sz="1400" baseline="0">
                <a:latin typeface="Arial" pitchFamily="34" charset="0"/>
                <a:cs typeface="Arial" pitchFamily="34" charset="0"/>
              </a:rPr>
              <a:t>COMPOSICIÓN POR TIPO DE TASA DE INTERES</a:t>
            </a:r>
          </a:p>
        </c:rich>
      </c:tx>
      <c:layout>
        <c:manualLayout>
          <c:xMode val="edge"/>
          <c:yMode val="edge"/>
          <c:x val="0.14813457358308665"/>
          <c:y val="4.045549797283596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6717400793650792"/>
          <c:y val="0.19023395061728396"/>
          <c:w val="0.5058799603174603"/>
          <c:h val="0.78692438271604936"/>
        </c:manualLayout>
      </c:layout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noFill/>
              <a:prstDash val="solid"/>
            </a:ln>
          </c:spPr>
          <c:explosion val="1"/>
          <c:dPt>
            <c:idx val="0"/>
            <c:bubble3D val="0"/>
            <c:spPr>
              <a:solidFill>
                <a:schemeClr val="tx1">
                  <a:lumMod val="50000"/>
                  <a:lumOff val="50000"/>
                </a:schemeClr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0058-4F41-8CCA-AA8B5DF0EF13}"/>
              </c:ext>
            </c:extLst>
          </c:dPt>
          <c:dPt>
            <c:idx val="1"/>
            <c:bubble3D val="0"/>
            <c:spPr>
              <a:solidFill>
                <a:srgbClr val="083D77"/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0058-4F41-8CCA-AA8B5DF0EF13}"/>
              </c:ext>
            </c:extLst>
          </c:dPt>
          <c:dLbls>
            <c:dLbl>
              <c:idx val="0"/>
              <c:layout>
                <c:manualLayout>
                  <c:x val="0.25673093763109767"/>
                  <c:y val="2.2310339506172838E-2"/>
                </c:manualLayout>
              </c:layout>
              <c:tx>
                <c:rich>
                  <a:bodyPr/>
                  <a:lstStyle/>
                  <a:p>
                    <a:pPr>
                      <a:defRPr sz="1100">
                        <a:solidFill>
                          <a:schemeClr val="bg1"/>
                        </a:solidFill>
                        <a:latin typeface="Arial" pitchFamily="34" charset="0"/>
                        <a:cs typeface="Arial" pitchFamily="34" charset="0"/>
                      </a:defRPr>
                    </a:pPr>
                    <a:fld id="{D02E508B-1044-4DE9-BFB6-71EFCB9BD6B6}" type="CATEGORYNAME">
                      <a:rPr lang="en-US">
                        <a:solidFill>
                          <a:schemeClr val="bg1"/>
                        </a:solidFill>
                      </a:rPr>
                      <a:pPr>
                        <a:defRPr sz="1100">
                          <a:solidFill>
                            <a:schemeClr val="bg1"/>
                          </a:solidFill>
                          <a:latin typeface="Arial" pitchFamily="34" charset="0"/>
                          <a:cs typeface="Arial" pitchFamily="34" charset="0"/>
                        </a:defRPr>
                      </a:pPr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 </a:t>
                    </a:r>
                    <a:fld id="{EA03958D-FFF2-4791-AA48-3E601C11E024}" type="VALUE">
                      <a:rPr lang="en-US" baseline="0">
                        <a:solidFill>
                          <a:schemeClr val="bg1"/>
                        </a:solidFill>
                      </a:rPr>
                      <a:pPr>
                        <a:defRPr sz="1100">
                          <a:solidFill>
                            <a:schemeClr val="bg1"/>
                          </a:solidFill>
                          <a:latin typeface="Arial" pitchFamily="34" charset="0"/>
                          <a:cs typeface="Arial" pitchFamily="34" charset="0"/>
                        </a:defRPr>
                      </a:pPr>
                      <a:t>[VALOR]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6285714285714284"/>
                      <c:h val="0.110929012345678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0058-4F41-8CCA-AA8B5DF0EF13}"/>
                </c:ext>
              </c:extLst>
            </c:dLbl>
            <c:dLbl>
              <c:idx val="1"/>
              <c:layout>
                <c:manualLayout>
                  <c:x val="-0.21627628057650622"/>
                  <c:y val="-2.3100888068173515E-2"/>
                </c:manualLayout>
              </c:layout>
              <c:tx>
                <c:rich>
                  <a:bodyPr/>
                  <a:lstStyle/>
                  <a:p>
                    <a:pPr>
                      <a:defRPr sz="1100">
                        <a:solidFill>
                          <a:schemeClr val="bg1"/>
                        </a:solidFill>
                        <a:latin typeface="Arial" pitchFamily="34" charset="0"/>
                        <a:cs typeface="Arial" pitchFamily="34" charset="0"/>
                      </a:defRPr>
                    </a:pPr>
                    <a:fld id="{9A3319BE-43E7-4C40-BC98-BE2CCC40A949}" type="CATEGORYNAME">
                      <a:rPr lang="en-US"/>
                      <a:pPr>
                        <a:defRPr sz="1100">
                          <a:solidFill>
                            <a:schemeClr val="bg1"/>
                          </a:solidFill>
                          <a:latin typeface="Arial" pitchFamily="34" charset="0"/>
                          <a:cs typeface="Arial" pitchFamily="34" charset="0"/>
                        </a:defRPr>
                      </a:pPr>
                      <a:t>[NOMBRE DE CATEGORÍA]</a:t>
                    </a:fld>
                    <a:r>
                      <a:rPr lang="en-US" baseline="0"/>
                      <a:t> </a:t>
                    </a:r>
                    <a:fld id="{D490ACB0-D641-4E01-A6E6-238377672057}" type="VALUE">
                      <a:rPr lang="en-US" baseline="0"/>
                      <a:pPr>
                        <a:defRPr sz="1100">
                          <a:solidFill>
                            <a:schemeClr val="bg1"/>
                          </a:solidFill>
                          <a:latin typeface="Arial" pitchFamily="34" charset="0"/>
                          <a:cs typeface="Arial" pitchFamily="34" charset="0"/>
                        </a:defRPr>
                      </a:pPr>
                      <a:t>[VALOR]</a:t>
                    </a:fld>
                    <a:endParaRPr lang="en-US" baseline="0"/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6569108964063837"/>
                      <c:h val="0.1069781621352578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0058-4F41-8CCA-AA8B5DF0EF1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100">
                    <a:latin typeface="Arial" pitchFamily="34" charset="0"/>
                    <a:cs typeface="Arial" pitchFamily="34" charset="0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FIJO</c:v>
              </c:pt>
              <c:pt idx="1">
                <c:v>VARIABLE</c:v>
              </c:pt>
            </c:strLit>
          </c:cat>
          <c:val>
            <c:numLit>
              <c:formatCode>0.0%</c:formatCode>
              <c:ptCount val="2"/>
              <c:pt idx="0">
                <c:v>0.40370034710800795</c:v>
              </c:pt>
              <c:pt idx="1">
                <c:v>0.59629965289199205</c:v>
              </c:pt>
            </c:numLit>
          </c:val>
          <c:extLst>
            <c:ext xmlns:c16="http://schemas.microsoft.com/office/drawing/2014/chart" uri="{C3380CC4-5D6E-409C-BE32-E72D297353CC}">
              <c16:uniqueId val="{00000004-0058-4F41-8CCA-AA8B5DF0EF13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189"/>
      </c:pie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925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s-CO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>
                <a:latin typeface="Arial" panose="020B0604020202020204" pitchFamily="34" charset="0"/>
                <a:cs typeface="Arial" panose="020B0604020202020204" pitchFamily="34" charset="0"/>
              </a:defRPr>
            </a:pPr>
            <a:r>
              <a:rPr lang="es-ES" sz="1400" b="1">
                <a:latin typeface="Arial" panose="020B0604020202020204" pitchFamily="34" charset="0"/>
                <a:cs typeface="Arial" panose="020B0604020202020204" pitchFamily="34" charset="0"/>
              </a:rPr>
              <a:t>COMPOSICIÓN TASA VARIABLE</a:t>
            </a:r>
          </a:p>
        </c:rich>
      </c:tx>
      <c:layout>
        <c:manualLayout>
          <c:xMode val="edge"/>
          <c:yMode val="edge"/>
          <c:x val="0.18641746031746032"/>
          <c:y val="3.6804012345679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0684709240167673"/>
          <c:y val="0.17727324771588615"/>
          <c:w val="0.54451229983444582"/>
          <c:h val="0.80715991001756759"/>
        </c:manualLayout>
      </c:layout>
      <c:pieChart>
        <c:varyColors val="1"/>
        <c:ser>
          <c:idx val="0"/>
          <c:order val="0"/>
          <c:explosion val="1"/>
          <c:dPt>
            <c:idx val="0"/>
            <c:bubble3D val="0"/>
            <c:spPr>
              <a:solidFill>
                <a:srgbClr val="216869"/>
              </a:solidFill>
            </c:spPr>
            <c:extLst>
              <c:ext xmlns:c16="http://schemas.microsoft.com/office/drawing/2014/chart" uri="{C3380CC4-5D6E-409C-BE32-E72D297353CC}">
                <c16:uniqueId val="{00000001-7AAC-4732-B9ED-9ED4AF8810D5}"/>
              </c:ext>
            </c:extLst>
          </c:dPt>
          <c:dPt>
            <c:idx val="1"/>
            <c:bubble3D val="0"/>
            <c:spPr>
              <a:solidFill>
                <a:srgbClr val="083D77"/>
              </a:solidFill>
            </c:spPr>
            <c:extLst>
              <c:ext xmlns:c16="http://schemas.microsoft.com/office/drawing/2014/chart" uri="{C3380CC4-5D6E-409C-BE32-E72D297353CC}">
                <c16:uniqueId val="{00000003-7AAC-4732-B9ED-9ED4AF8810D5}"/>
              </c:ext>
            </c:extLst>
          </c:dPt>
          <c:dPt>
            <c:idx val="2"/>
            <c:bubble3D val="0"/>
            <c:spPr>
              <a:solidFill>
                <a:srgbClr val="49A078"/>
              </a:solidFill>
            </c:spPr>
            <c:extLst>
              <c:ext xmlns:c16="http://schemas.microsoft.com/office/drawing/2014/chart" uri="{C3380CC4-5D6E-409C-BE32-E72D297353CC}">
                <c16:uniqueId val="{00000005-7AAC-4732-B9ED-9ED4AF8810D5}"/>
              </c:ext>
            </c:extLst>
          </c:dPt>
          <c:dPt>
            <c:idx val="3"/>
            <c:bubble3D val="0"/>
            <c:spPr>
              <a:solidFill>
                <a:srgbClr val="1F2421"/>
              </a:solidFill>
            </c:spPr>
            <c:extLst>
              <c:ext xmlns:c16="http://schemas.microsoft.com/office/drawing/2014/chart" uri="{C3380CC4-5D6E-409C-BE32-E72D297353CC}">
                <c16:uniqueId val="{00000007-7AAC-4732-B9ED-9ED4AF8810D5}"/>
              </c:ext>
            </c:extLst>
          </c:dPt>
          <c:dPt>
            <c:idx val="4"/>
            <c:bubble3D val="0"/>
            <c:spPr>
              <a:solidFill>
                <a:schemeClr val="tx1"/>
              </a:solidFill>
            </c:spPr>
            <c:extLst>
              <c:ext xmlns:c16="http://schemas.microsoft.com/office/drawing/2014/chart" uri="{C3380CC4-5D6E-409C-BE32-E72D297353CC}">
                <c16:uniqueId val="{00000009-7AAC-4732-B9ED-9ED4AF8810D5}"/>
              </c:ext>
            </c:extLst>
          </c:dPt>
          <c:dPt>
            <c:idx val="5"/>
            <c:bubble3D val="0"/>
            <c:spPr>
              <a:solidFill>
                <a:srgbClr val="E9422D"/>
              </a:solidFill>
            </c:spPr>
            <c:extLst>
              <c:ext xmlns:c16="http://schemas.microsoft.com/office/drawing/2014/chart" uri="{C3380CC4-5D6E-409C-BE32-E72D297353CC}">
                <c16:uniqueId val="{0000000B-7AAC-4732-B9ED-9ED4AF8810D5}"/>
              </c:ext>
            </c:extLst>
          </c:dPt>
          <c:dLbls>
            <c:dLbl>
              <c:idx val="0"/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 sz="1100">
                        <a:solidFill>
                          <a:schemeClr val="bg1"/>
                        </a:solidFill>
                      </a:defRPr>
                    </a:pPr>
                    <a:fld id="{2835EE07-6433-40B1-9C30-3A167BE364B2}" type="CATEGORYNAME">
                      <a:rPr lang="en-US" sz="1100" b="1">
                        <a:solidFill>
                          <a:schemeClr val="bg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1100">
                          <a:solidFill>
                            <a:schemeClr val="bg1"/>
                          </a:solidFill>
                        </a:defRPr>
                      </a:pPr>
                      <a:t>[NOMBRE DE CATEGORÍA]</a:t>
                    </a:fld>
                    <a:r>
                      <a:rPr lang="en-US" sz="1100" b="1" baseline="0">
                        <a:solidFill>
                          <a:schemeClr val="bg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t> </a:t>
                    </a:r>
                    <a:fld id="{67DD9BA3-AFE5-459C-AEC2-CAEE4338318F}" type="VALUE">
                      <a:rPr lang="en-US" sz="1100" b="1" baseline="0">
                        <a:solidFill>
                          <a:schemeClr val="bg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1100">
                          <a:solidFill>
                            <a:schemeClr val="bg1"/>
                          </a:solidFill>
                        </a:defRPr>
                      </a:pPr>
                      <a:t>[VALOR]</a:t>
                    </a:fld>
                    <a:endParaRPr lang="en-US" sz="1100" b="1" baseline="0">
                      <a:solidFill>
                        <a:schemeClr val="bg1"/>
                      </a:solidFill>
                      <a:latin typeface="Arial" panose="020B0604020202020204" pitchFamily="34" charset="0"/>
                      <a:cs typeface="Arial" panose="020B0604020202020204" pitchFamily="34" charset="0"/>
                    </a:endParaRPr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ctr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4188895340858554"/>
                      <c:h val="8.8300689949334529E-2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7AAC-4732-B9ED-9ED4AF8810D5}"/>
                </c:ext>
              </c:extLst>
            </c:dLbl>
            <c:dLbl>
              <c:idx val="1"/>
              <c:layout>
                <c:manualLayout>
                  <c:x val="-0.25608956561462159"/>
                  <c:y val="-0.16964523610416285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 sz="1100" b="1">
                        <a:solidFill>
                          <a:schemeClr val="bg1"/>
                        </a:solidFill>
                      </a:defRPr>
                    </a:pPr>
                    <a:r>
                      <a:rPr lang="en-US" b="1" baseline="0">
                        <a:solidFill>
                          <a:schemeClr val="bg1"/>
                        </a:solidFill>
                      </a:rPr>
                      <a:t>IBR
</a:t>
                    </a:r>
                    <a:fld id="{0D5425D6-36F6-45A3-BEBA-56A37333897C}" type="VALUE">
                      <a:rPr lang="en-US" b="1" baseline="0">
                        <a:solidFill>
                          <a:schemeClr val="bg1"/>
                        </a:solidFill>
                      </a:rPr>
                      <a:pPr>
                        <a:defRPr sz="1100" b="1">
                          <a:solidFill>
                            <a:schemeClr val="bg1"/>
                          </a:solidFill>
                        </a:defRPr>
                      </a:pPr>
                      <a:t>[VALOR]</a:t>
                    </a:fld>
                    <a:endParaRPr lang="en-US" b="1" baseline="0">
                      <a:solidFill>
                        <a:schemeClr val="bg1"/>
                      </a:solidFill>
                    </a:endParaRPr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32923341844380433"/>
                      <c:h val="0.14539917910970648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7AAC-4732-B9ED-9ED4AF8810D5}"/>
                </c:ext>
              </c:extLst>
            </c:dLbl>
            <c:dLbl>
              <c:idx val="2"/>
              <c:layout>
                <c:manualLayout>
                  <c:x val="2.0077830937807953E-4"/>
                  <c:y val="3.7417182478221463E-2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 sz="1100" b="1">
                        <a:solidFill>
                          <a:srgbClr val="49A078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defRPr>
                    </a:pPr>
                    <a:fld id="{5F9A05F7-82CC-429A-A045-CF8014B0C565}" type="CATEGORYNAME">
                      <a:rPr lang="en-US">
                        <a:solidFill>
                          <a:srgbClr val="49A078"/>
                        </a:solidFill>
                      </a:rPr>
                      <a:pPr>
                        <a:defRPr sz="1100" b="1">
                          <a:solidFill>
                            <a:srgbClr val="49A078"/>
                          </a:solidFill>
                          <a:latin typeface="Arial" panose="020B0604020202020204" pitchFamily="34" charset="0"/>
                          <a:cs typeface="Arial" panose="020B0604020202020204" pitchFamily="34" charset="0"/>
                        </a:defRPr>
                      </a:pPr>
                      <a:t>[NOMBRE DE CATEGORÍA]</a:t>
                    </a:fld>
                    <a:r>
                      <a:rPr lang="en-US" baseline="0">
                        <a:solidFill>
                          <a:srgbClr val="49A078"/>
                        </a:solidFill>
                      </a:rPr>
                      <a:t> </a:t>
                    </a:r>
                    <a:fld id="{38720D98-E96A-48B1-AAB4-68A87FB0DEE4}" type="VALUE">
                      <a:rPr lang="en-US" baseline="0">
                        <a:solidFill>
                          <a:srgbClr val="49A078"/>
                        </a:solidFill>
                      </a:rPr>
                      <a:pPr>
                        <a:defRPr sz="1100" b="1">
                          <a:solidFill>
                            <a:srgbClr val="49A078"/>
                          </a:solidFill>
                          <a:latin typeface="Arial" panose="020B0604020202020204" pitchFamily="34" charset="0"/>
                          <a:cs typeface="Arial" panose="020B0604020202020204" pitchFamily="34" charset="0"/>
                        </a:defRPr>
                      </a:pPr>
                      <a:t>[VALOR]</a:t>
                    </a:fld>
                    <a:endParaRPr lang="en-US" baseline="0">
                      <a:solidFill>
                        <a:srgbClr val="49A078"/>
                      </a:solidFill>
                    </a:endParaRPr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4896634229456577"/>
                      <c:h val="9.0101688251793724E-2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7AAC-4732-B9ED-9ED4AF8810D5}"/>
                </c:ext>
              </c:extLst>
            </c:dLbl>
            <c:dLbl>
              <c:idx val="3"/>
              <c:layout>
                <c:manualLayout>
                  <c:x val="-5.8427215110328353E-3"/>
                  <c:y val="-1.9889435108660404E-2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 sz="1100">
                        <a:solidFill>
                          <a:srgbClr val="1F2421"/>
                        </a:solidFill>
                      </a:defRPr>
                    </a:pPr>
                    <a:fld id="{F8EE7C64-0858-4C57-B723-AF60F32ADA3C}" type="CATEGORYNAME">
                      <a:rPr lang="en-US" sz="1100" b="1">
                        <a:solidFill>
                          <a:srgbClr val="1F242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1100">
                          <a:solidFill>
                            <a:srgbClr val="1F2421"/>
                          </a:solidFill>
                        </a:defRPr>
                      </a:pPr>
                      <a:t>[NOMBRE DE CATEGORÍA]</a:t>
                    </a:fld>
                    <a:r>
                      <a:rPr lang="en-US" sz="1100" b="1" baseline="0">
                        <a:solidFill>
                          <a:srgbClr val="1F242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t> </a:t>
                    </a:r>
                    <a:fld id="{CDCCC69C-CC2D-43B9-82ED-2ECDB134299D}" type="VALUE">
                      <a:rPr lang="en-US" sz="1100" b="1" baseline="0">
                        <a:solidFill>
                          <a:srgbClr val="1F242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1100">
                          <a:solidFill>
                            <a:srgbClr val="1F2421"/>
                          </a:solidFill>
                        </a:defRPr>
                      </a:pPr>
                      <a:t>[VALOR]</a:t>
                    </a:fld>
                    <a:endParaRPr lang="en-US" sz="1100" b="1" baseline="0">
                      <a:solidFill>
                        <a:srgbClr val="1F2421"/>
                      </a:solidFill>
                      <a:latin typeface="Arial" panose="020B0604020202020204" pitchFamily="34" charset="0"/>
                      <a:cs typeface="Arial" panose="020B0604020202020204" pitchFamily="34" charset="0"/>
                    </a:endParaRPr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19735033363022092"/>
                      <c:h val="7.3703729654446729E-2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7-7AAC-4732-B9ED-9ED4AF8810D5}"/>
                </c:ext>
              </c:extLst>
            </c:dLbl>
            <c:dLbl>
              <c:idx val="4"/>
              <c:layout>
                <c:manualLayout>
                  <c:x val="-1.9625794102622756E-2"/>
                  <c:y val="-0.10091584626015855"/>
                </c:manualLayout>
              </c:layout>
              <c:tx>
                <c:rich>
                  <a:bodyPr wrap="square" lIns="38100" tIns="19050" rIns="38100" bIns="19050" anchor="ctr">
                    <a:spAutoFit/>
                  </a:bodyPr>
                  <a:lstStyle/>
                  <a:p>
                    <a:pPr>
                      <a:defRPr sz="1100">
                        <a:solidFill>
                          <a:schemeClr val="tx1"/>
                        </a:solidFill>
                      </a:defRPr>
                    </a:pPr>
                    <a:fld id="{9C5395D2-D598-40F5-B8B6-FBF410B9ED82}" type="CATEGORYNAME">
                      <a:rPr lang="en-US" sz="1100" b="1">
                        <a:solidFill>
                          <a:schemeClr val="tx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1100">
                          <a:solidFill>
                            <a:schemeClr val="tx1"/>
                          </a:solidFill>
                        </a:defRPr>
                      </a:pPr>
                      <a:t>[NOMBRE DE CATEGORÍA]</a:t>
                    </a:fld>
                    <a:r>
                      <a:rPr lang="en-US" sz="1100" b="1" baseline="0">
                        <a:solidFill>
                          <a:schemeClr val="tx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t> </a:t>
                    </a:r>
                    <a:fld id="{3BCEDB52-11CE-475C-9D9A-860C7AE133E9}" type="VALUE">
                      <a:rPr lang="en-US" sz="1100" b="1" baseline="0">
                        <a:solidFill>
                          <a:schemeClr val="tx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1100">
                          <a:solidFill>
                            <a:schemeClr val="tx1"/>
                          </a:solidFill>
                        </a:defRPr>
                      </a:pPr>
                      <a:t>[VALOR]</a:t>
                    </a:fld>
                    <a:endParaRPr lang="en-US" sz="1100" b="1" baseline="0">
                      <a:solidFill>
                        <a:schemeClr val="tx1"/>
                      </a:solidFill>
                      <a:latin typeface="Arial" panose="020B0604020202020204" pitchFamily="34" charset="0"/>
                      <a:cs typeface="Arial" panose="020B0604020202020204" pitchFamily="34" charset="0"/>
                    </a:endParaRPr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17974477976866776"/>
                      <c:h val="0.11002335711902334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9-7AAC-4732-B9ED-9ED4AF8810D5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>
                  <c15:layout>
                    <c:manualLayout>
                      <c:w val="0.28381416016282485"/>
                      <c:h val="0.106601344250644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7AAC-4732-B9ED-9ED4AF8810D5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100"/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1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6"/>
              <c:pt idx="0">
                <c:v>IPC</c:v>
              </c:pt>
              <c:pt idx="1">
                <c:v>IBR</c:v>
              </c:pt>
              <c:pt idx="2">
                <c:v>SOFR</c:v>
              </c:pt>
              <c:pt idx="3">
                <c:v>BID</c:v>
              </c:pt>
              <c:pt idx="4">
                <c:v>DTF</c:v>
              </c:pt>
              <c:pt idx="5">
                <c:v>EURIBOR</c:v>
              </c:pt>
            </c:strLit>
          </c:cat>
          <c:val>
            <c:numLit>
              <c:formatCode>0.0%</c:formatCode>
              <c:ptCount val="6"/>
              <c:pt idx="0">
                <c:v>0.14165887685929715</c:v>
              </c:pt>
              <c:pt idx="1">
                <c:v>0.83565262931104689</c:v>
              </c:pt>
              <c:pt idx="2">
                <c:v>1.2850610880187836E-2</c:v>
              </c:pt>
              <c:pt idx="3">
                <c:v>5.5676367623015525E-3</c:v>
              </c:pt>
              <c:pt idx="4">
                <c:v>4.2702461871666538E-3</c:v>
              </c:pt>
              <c:pt idx="5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C-7AAC-4732-B9ED-9ED4AF8810D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256"/>
      </c:pieChart>
    </c:plotArea>
    <c:plotVisOnly val="1"/>
    <c:dispBlanksAs val="zero"/>
    <c:showDLblsOverMax val="0"/>
  </c:chart>
  <c:spPr>
    <a:noFill/>
    <a:ln>
      <a:noFill/>
    </a:ln>
  </c:spPr>
  <c:printSettings>
    <c:headerFooter alignWithMargins="0"/>
    <c:pageMargins b="1" l="0.75000000000001465" r="0.75000000000001465" t="1" header="0" footer="0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v>Bonos</c:v>
          </c:tx>
          <c:spPr>
            <a:solidFill>
              <a:srgbClr val="343E4D"/>
            </a:solidFill>
            <a:ln>
              <a:noFill/>
            </a:ln>
            <a:effectLst/>
          </c:spPr>
          <c:invertIfNegative val="0"/>
          <c:cat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2024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2025</c:v>
                </c:pt>
                <c:pt idx="1">
                  <c:v>2026</c:v>
                </c:pt>
                <c:pt idx="2">
                  <c:v>2027</c:v>
                </c:pt>
                <c:pt idx="3">
                  <c:v>2028</c:v>
                </c:pt>
                <c:pt idx="4">
                  <c:v>2029</c:v>
                </c:pt>
                <c:pt idx="5">
                  <c:v>2030</c:v>
                </c:pt>
                <c:pt idx="6">
                  <c:v>2031</c:v>
                </c:pt>
                <c:pt idx="7">
                  <c:v>2032</c:v>
                </c:pt>
                <c:pt idx="8">
                  <c:v>2033</c:v>
                </c:pt>
                <c:pt idx="9">
                  <c:v>2034</c:v>
                </c:pt>
                <c:pt idx="10">
                  <c:v>2035</c:v>
                </c:pt>
                <c:pt idx="11">
                  <c:v>2036</c:v>
                </c:pt>
                <c:pt idx="12">
                  <c:v>2037</c:v>
                </c:pt>
                <c:pt idx="13">
                  <c:v>2038</c:v>
                </c:pt>
                <c:pt idx="14">
                  <c:v>2039</c:v>
                </c:pt>
                <c:pt idx="15">
                  <c:v>2040</c:v>
                </c:pt>
                <c:pt idx="16">
                  <c:v>2041</c:v>
                </c:pt>
                <c:pt idx="17">
                  <c:v>2042</c:v>
                </c:pt>
                <c:pt idx="18">
                  <c:v>2043</c:v>
                </c:pt>
                <c:pt idx="19">
                  <c:v>2044</c:v>
                </c:pt>
                <c:pt idx="20">
                  <c:v>2045</c:v>
                </c:pt>
                <c:pt idx="21">
                  <c:v>2046</c:v>
                </c:pt>
                <c:pt idx="22">
                  <c:v>2047</c:v>
                </c:pt>
                <c:pt idx="23">
                  <c:v>2048</c:v>
                </c:pt>
              </c:numCache>
            </c:numRef>
          </c:cat>
          <c:val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0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2.2200830922983137</c:v>
                </c:pt>
                <c:pt idx="1">
                  <c:v>1.779933506953068</c:v>
                </c:pt>
                <c:pt idx="2">
                  <c:v>1.779933506953068</c:v>
                </c:pt>
                <c:pt idx="3">
                  <c:v>1.779933506953068</c:v>
                </c:pt>
                <c:pt idx="4">
                  <c:v>2.7687587931386166</c:v>
                </c:pt>
                <c:pt idx="5">
                  <c:v>1.9616656049387098</c:v>
                </c:pt>
                <c:pt idx="6">
                  <c:v>0.54599923400693517</c:v>
                </c:pt>
                <c:pt idx="7">
                  <c:v>0</c:v>
                </c:pt>
                <c:pt idx="8">
                  <c:v>0.95060718564425828</c:v>
                </c:pt>
                <c:pt idx="9">
                  <c:v>0</c:v>
                </c:pt>
                <c:pt idx="10">
                  <c:v>0</c:v>
                </c:pt>
                <c:pt idx="11">
                  <c:v>2.7490781920788376</c:v>
                </c:pt>
                <c:pt idx="12">
                  <c:v>0</c:v>
                </c:pt>
                <c:pt idx="13">
                  <c:v>0</c:v>
                </c:pt>
                <c:pt idx="14">
                  <c:v>5.1759118027027018</c:v>
                </c:pt>
                <c:pt idx="15">
                  <c:v>4.8962469233353563</c:v>
                </c:pt>
                <c:pt idx="16">
                  <c:v>0.71861972621660419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5.5511716033962868</c:v>
                </c:pt>
                <c:pt idx="22">
                  <c:v>0</c:v>
                </c:pt>
                <c:pt idx="23">
                  <c:v>5.1759118027027018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071-4CCF-B66A-D26648A3DB50}"/>
            </c:ext>
          </c:extLst>
        </c:ser>
        <c:ser>
          <c:idx val="1"/>
          <c:order val="1"/>
          <c:tx>
            <c:v>Comercial</c:v>
          </c:tx>
          <c:spPr>
            <a:solidFill>
              <a:srgbClr val="636468"/>
            </a:solidFill>
            <a:ln>
              <a:noFill/>
            </a:ln>
            <a:effectLst/>
          </c:spPr>
          <c:invertIfNegative val="0"/>
          <c:cat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2024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2025</c:v>
                </c:pt>
                <c:pt idx="1">
                  <c:v>2026</c:v>
                </c:pt>
                <c:pt idx="2">
                  <c:v>2027</c:v>
                </c:pt>
                <c:pt idx="3">
                  <c:v>2028</c:v>
                </c:pt>
                <c:pt idx="4">
                  <c:v>2029</c:v>
                </c:pt>
                <c:pt idx="5">
                  <c:v>2030</c:v>
                </c:pt>
                <c:pt idx="6">
                  <c:v>2031</c:v>
                </c:pt>
                <c:pt idx="7">
                  <c:v>2032</c:v>
                </c:pt>
                <c:pt idx="8">
                  <c:v>2033</c:v>
                </c:pt>
                <c:pt idx="9">
                  <c:v>2034</c:v>
                </c:pt>
                <c:pt idx="10">
                  <c:v>2035</c:v>
                </c:pt>
                <c:pt idx="11">
                  <c:v>2036</c:v>
                </c:pt>
                <c:pt idx="12">
                  <c:v>2037</c:v>
                </c:pt>
                <c:pt idx="13">
                  <c:v>2038</c:v>
                </c:pt>
                <c:pt idx="14">
                  <c:v>2039</c:v>
                </c:pt>
                <c:pt idx="15">
                  <c:v>2040</c:v>
                </c:pt>
                <c:pt idx="16">
                  <c:v>2041</c:v>
                </c:pt>
                <c:pt idx="17">
                  <c:v>2042</c:v>
                </c:pt>
                <c:pt idx="18">
                  <c:v>2043</c:v>
                </c:pt>
                <c:pt idx="19">
                  <c:v>2044</c:v>
                </c:pt>
                <c:pt idx="20">
                  <c:v>2045</c:v>
                </c:pt>
                <c:pt idx="21">
                  <c:v>2046</c:v>
                </c:pt>
                <c:pt idx="22">
                  <c:v>2047</c:v>
                </c:pt>
                <c:pt idx="23">
                  <c:v>2048</c:v>
                </c:pt>
              </c:numCache>
            </c:numRef>
          </c:cat>
          <c:val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0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2.9283171051559824</c:v>
                </c:pt>
                <c:pt idx="1">
                  <c:v>4.2949863284753667</c:v>
                </c:pt>
                <c:pt idx="2">
                  <c:v>5.2135903926997891</c:v>
                </c:pt>
                <c:pt idx="3">
                  <c:v>6.4609841808429991</c:v>
                </c:pt>
                <c:pt idx="4">
                  <c:v>4.8770135987827485</c:v>
                </c:pt>
                <c:pt idx="5">
                  <c:v>4.8562479078342085</c:v>
                </c:pt>
                <c:pt idx="6">
                  <c:v>4.8424041138685165</c:v>
                </c:pt>
                <c:pt idx="7">
                  <c:v>4.6631907140038793</c:v>
                </c:pt>
                <c:pt idx="8">
                  <c:v>4.6149894090204118</c:v>
                </c:pt>
                <c:pt idx="9">
                  <c:v>3.9051104184462599</c:v>
                </c:pt>
                <c:pt idx="10">
                  <c:v>2.2197569940404538</c:v>
                </c:pt>
                <c:pt idx="11">
                  <c:v>1.3950257868620344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071-4CCF-B66A-D26648A3DB50}"/>
            </c:ext>
          </c:extLst>
        </c:ser>
        <c:ser>
          <c:idx val="2"/>
          <c:order val="2"/>
          <c:tx>
            <c:v>Fomento y Gobierno</c:v>
          </c:tx>
          <c:spPr>
            <a:solidFill>
              <a:srgbClr val="EC9618"/>
            </a:solidFill>
            <a:ln>
              <a:noFill/>
            </a:ln>
            <a:effectLst/>
          </c:spPr>
          <c:invertIfNegative val="0"/>
          <c:cat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2024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2025</c:v>
                </c:pt>
                <c:pt idx="1">
                  <c:v>2026</c:v>
                </c:pt>
                <c:pt idx="2">
                  <c:v>2027</c:v>
                </c:pt>
                <c:pt idx="3">
                  <c:v>2028</c:v>
                </c:pt>
                <c:pt idx="4">
                  <c:v>2029</c:v>
                </c:pt>
                <c:pt idx="5">
                  <c:v>2030</c:v>
                </c:pt>
                <c:pt idx="6">
                  <c:v>2031</c:v>
                </c:pt>
                <c:pt idx="7">
                  <c:v>2032</c:v>
                </c:pt>
                <c:pt idx="8">
                  <c:v>2033</c:v>
                </c:pt>
                <c:pt idx="9">
                  <c:v>2034</c:v>
                </c:pt>
                <c:pt idx="10">
                  <c:v>2035</c:v>
                </c:pt>
                <c:pt idx="11">
                  <c:v>2036</c:v>
                </c:pt>
                <c:pt idx="12">
                  <c:v>2037</c:v>
                </c:pt>
                <c:pt idx="13">
                  <c:v>2038</c:v>
                </c:pt>
                <c:pt idx="14">
                  <c:v>2039</c:v>
                </c:pt>
                <c:pt idx="15">
                  <c:v>2040</c:v>
                </c:pt>
                <c:pt idx="16">
                  <c:v>2041</c:v>
                </c:pt>
                <c:pt idx="17">
                  <c:v>2042</c:v>
                </c:pt>
                <c:pt idx="18">
                  <c:v>2043</c:v>
                </c:pt>
                <c:pt idx="19">
                  <c:v>2044</c:v>
                </c:pt>
                <c:pt idx="20">
                  <c:v>2045</c:v>
                </c:pt>
                <c:pt idx="21">
                  <c:v>2046</c:v>
                </c:pt>
                <c:pt idx="22">
                  <c:v>2047</c:v>
                </c:pt>
                <c:pt idx="23">
                  <c:v>2048</c:v>
                </c:pt>
              </c:numCache>
            </c:numRef>
          </c:cat>
          <c:val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0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2.3267096173314111E-2</c:v>
                </c:pt>
                <c:pt idx="1">
                  <c:v>2.3267096173314111E-2</c:v>
                </c:pt>
                <c:pt idx="2">
                  <c:v>0.68612846057509236</c:v>
                </c:pt>
                <c:pt idx="3">
                  <c:v>0.6862087242797017</c:v>
                </c:pt>
                <c:pt idx="4">
                  <c:v>0.67726152051733735</c:v>
                </c:pt>
                <c:pt idx="5">
                  <c:v>0.66831431675497321</c:v>
                </c:pt>
                <c:pt idx="6">
                  <c:v>0.66831431675497321</c:v>
                </c:pt>
                <c:pt idx="7">
                  <c:v>0.66831431675497321</c:v>
                </c:pt>
                <c:pt idx="8">
                  <c:v>0.66831431675497321</c:v>
                </c:pt>
                <c:pt idx="9">
                  <c:v>0.66831431675497321</c:v>
                </c:pt>
                <c:pt idx="10">
                  <c:v>0.66831431675497321</c:v>
                </c:pt>
                <c:pt idx="11">
                  <c:v>5.452952353194972E-3</c:v>
                </c:pt>
                <c:pt idx="12">
                  <c:v>5.452952353194972E-3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071-4CCF-B66A-D26648A3DB50}"/>
            </c:ext>
          </c:extLst>
        </c:ser>
        <c:ser>
          <c:idx val="3"/>
          <c:order val="3"/>
          <c:tx>
            <c:v>Multilateral</c:v>
          </c:tx>
          <c:spPr>
            <a:solidFill>
              <a:srgbClr val="E25E1A"/>
            </a:solidFill>
            <a:ln>
              <a:noFill/>
            </a:ln>
            <a:effectLst/>
          </c:spPr>
          <c:invertIfNegative val="0"/>
          <c:cat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2024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2025</c:v>
                </c:pt>
                <c:pt idx="1">
                  <c:v>2026</c:v>
                </c:pt>
                <c:pt idx="2">
                  <c:v>2027</c:v>
                </c:pt>
                <c:pt idx="3">
                  <c:v>2028</c:v>
                </c:pt>
                <c:pt idx="4">
                  <c:v>2029</c:v>
                </c:pt>
                <c:pt idx="5">
                  <c:v>2030</c:v>
                </c:pt>
                <c:pt idx="6">
                  <c:v>2031</c:v>
                </c:pt>
                <c:pt idx="7">
                  <c:v>2032</c:v>
                </c:pt>
                <c:pt idx="8">
                  <c:v>2033</c:v>
                </c:pt>
                <c:pt idx="9">
                  <c:v>2034</c:v>
                </c:pt>
                <c:pt idx="10">
                  <c:v>2035</c:v>
                </c:pt>
                <c:pt idx="11">
                  <c:v>2036</c:v>
                </c:pt>
                <c:pt idx="12">
                  <c:v>2037</c:v>
                </c:pt>
                <c:pt idx="13">
                  <c:v>2038</c:v>
                </c:pt>
                <c:pt idx="14">
                  <c:v>2039</c:v>
                </c:pt>
                <c:pt idx="15">
                  <c:v>2040</c:v>
                </c:pt>
                <c:pt idx="16">
                  <c:v>2041</c:v>
                </c:pt>
                <c:pt idx="17">
                  <c:v>2042</c:v>
                </c:pt>
                <c:pt idx="18">
                  <c:v>2043</c:v>
                </c:pt>
                <c:pt idx="19">
                  <c:v>2044</c:v>
                </c:pt>
                <c:pt idx="20">
                  <c:v>2045</c:v>
                </c:pt>
                <c:pt idx="21">
                  <c:v>2046</c:v>
                </c:pt>
                <c:pt idx="22">
                  <c:v>2047</c:v>
                </c:pt>
                <c:pt idx="23">
                  <c:v>2048</c:v>
                </c:pt>
              </c:numCache>
            </c:numRef>
          </c:cat>
          <c:val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0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0.864303548099144</c:v>
                </c:pt>
                <c:pt idx="1">
                  <c:v>0.55925049969489748</c:v>
                </c:pt>
                <c:pt idx="2">
                  <c:v>0.55925049969489748</c:v>
                </c:pt>
                <c:pt idx="3">
                  <c:v>0.55925049969489748</c:v>
                </c:pt>
                <c:pt idx="4">
                  <c:v>0.55925049969489748</c:v>
                </c:pt>
                <c:pt idx="5">
                  <c:v>0.55925049969489748</c:v>
                </c:pt>
                <c:pt idx="6">
                  <c:v>0.55925049969489748</c:v>
                </c:pt>
                <c:pt idx="7">
                  <c:v>0.44593243980843039</c:v>
                </c:pt>
                <c:pt idx="8">
                  <c:v>0.44593243980843039</c:v>
                </c:pt>
                <c:pt idx="9">
                  <c:v>0.44593243980843039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071-4CCF-B66A-D26648A3DB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5"/>
        <c:overlap val="100"/>
        <c:axId val="658066992"/>
        <c:axId val="658066512"/>
      </c:barChart>
      <c:lineChart>
        <c:grouping val="standard"/>
        <c:varyColors val="0"/>
        <c:ser>
          <c:idx val="4"/>
          <c:order val="4"/>
          <c:tx>
            <c:v>Total</c:v>
          </c:tx>
          <c:spPr>
            <a:ln w="28575" cap="rnd">
              <a:noFill/>
              <a:round/>
            </a:ln>
            <a:effectLst/>
          </c:spPr>
          <c:marker>
            <c:symbol val="none"/>
          </c:marker>
          <c:dLbls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071-4CCF-B66A-D26648A3DB50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071-4CCF-B66A-D26648A3DB50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071-4CCF-B66A-D26648A3DB50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071-4CCF-B66A-D26648A3DB50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071-4CCF-B66A-D26648A3DB50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071-4CCF-B66A-D26648A3DB50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071-4CCF-B66A-D26648A3DB5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100" b="1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2024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2025</c:v>
                </c:pt>
                <c:pt idx="1">
                  <c:v>2026</c:v>
                </c:pt>
                <c:pt idx="2">
                  <c:v>2027</c:v>
                </c:pt>
                <c:pt idx="3">
                  <c:v>2028</c:v>
                </c:pt>
                <c:pt idx="4">
                  <c:v>2029</c:v>
                </c:pt>
                <c:pt idx="5">
                  <c:v>2030</c:v>
                </c:pt>
                <c:pt idx="6">
                  <c:v>2031</c:v>
                </c:pt>
                <c:pt idx="7">
                  <c:v>2032</c:v>
                </c:pt>
                <c:pt idx="8">
                  <c:v>2033</c:v>
                </c:pt>
                <c:pt idx="9">
                  <c:v>2034</c:v>
                </c:pt>
                <c:pt idx="10">
                  <c:v>2035</c:v>
                </c:pt>
                <c:pt idx="11">
                  <c:v>2036</c:v>
                </c:pt>
                <c:pt idx="12">
                  <c:v>2037</c:v>
                </c:pt>
                <c:pt idx="13">
                  <c:v>2038</c:v>
                </c:pt>
                <c:pt idx="14">
                  <c:v>2039</c:v>
                </c:pt>
                <c:pt idx="15">
                  <c:v>2040</c:v>
                </c:pt>
                <c:pt idx="16">
                  <c:v>2041</c:v>
                </c:pt>
                <c:pt idx="17">
                  <c:v>2042</c:v>
                </c:pt>
                <c:pt idx="18">
                  <c:v>2043</c:v>
                </c:pt>
                <c:pt idx="19">
                  <c:v>2044</c:v>
                </c:pt>
                <c:pt idx="20">
                  <c:v>2045</c:v>
                </c:pt>
                <c:pt idx="21">
                  <c:v>2046</c:v>
                </c:pt>
                <c:pt idx="22">
                  <c:v>2047</c:v>
                </c:pt>
                <c:pt idx="23">
                  <c:v>2048</c:v>
                </c:pt>
              </c:numCache>
            </c:numRef>
          </c:cat>
          <c:val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0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6.0359708417267548</c:v>
                </c:pt>
                <c:pt idx="1">
                  <c:v>6.6574374312966462</c:v>
                </c:pt>
                <c:pt idx="2">
                  <c:v>8.2389028599228471</c:v>
                </c:pt>
                <c:pt idx="3">
                  <c:v>9.486376911770666</c:v>
                </c:pt>
                <c:pt idx="4">
                  <c:v>8.8822844121335987</c:v>
                </c:pt>
                <c:pt idx="5">
                  <c:v>8.0454783292227905</c:v>
                </c:pt>
                <c:pt idx="6">
                  <c:v>6.6159681643253228</c:v>
                </c:pt>
                <c:pt idx="7">
                  <c:v>5.7774374705672829</c:v>
                </c:pt>
                <c:pt idx="8">
                  <c:v>6.6798433512280724</c:v>
                </c:pt>
                <c:pt idx="9">
                  <c:v>5.0193571750096639</c:v>
                </c:pt>
                <c:pt idx="10">
                  <c:v>2.8880713107954268</c:v>
                </c:pt>
                <c:pt idx="11">
                  <c:v>4.1495569312940672</c:v>
                </c:pt>
                <c:pt idx="12">
                  <c:v>5.452952353194972E-3</c:v>
                </c:pt>
                <c:pt idx="13">
                  <c:v>0</c:v>
                </c:pt>
                <c:pt idx="14">
                  <c:v>5.1759118027027018</c:v>
                </c:pt>
                <c:pt idx="15">
                  <c:v>4.8962469233353563</c:v>
                </c:pt>
                <c:pt idx="16">
                  <c:v>0.71861972621660419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5.5511716033962868</c:v>
                </c:pt>
                <c:pt idx="22">
                  <c:v>0</c:v>
                </c:pt>
                <c:pt idx="23">
                  <c:v>5.1759118027027018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1071-4CCF-B66A-D26648A3DB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58066992"/>
        <c:axId val="658066512"/>
      </c:lineChart>
      <c:catAx>
        <c:axId val="658066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58066512"/>
        <c:crosses val="autoZero"/>
        <c:auto val="1"/>
        <c:lblAlgn val="ctr"/>
        <c:lblOffset val="100"/>
        <c:noMultiLvlLbl val="0"/>
      </c:catAx>
      <c:valAx>
        <c:axId val="658066512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1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s-CO" b="1"/>
                  <a:t>% Del</a:t>
                </a:r>
                <a:r>
                  <a:rPr lang="es-CO" b="1" baseline="0"/>
                  <a:t> Saldo Total</a:t>
                </a:r>
                <a:endParaRPr lang="es-CO" b="1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1" i="0" u="none" strike="noStrike" kern="1200" baseline="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s-CO"/>
            </a:p>
          </c:txPr>
        </c:title>
        <c:numFmt formatCode="#,##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5806699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sz="1100" b="1" i="0" u="none" strike="noStrike" kern="1200" baseline="0">
                <a:solidFill>
                  <a:srgbClr val="343E4D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</c:legendEntry>
      <c:legendEntry>
        <c:idx val="1"/>
        <c:txPr>
          <a:bodyPr rot="0" spcFirstLastPara="1" vertOverflow="ellipsis" vert="horz" wrap="square" anchor="ctr" anchorCtr="1"/>
          <a:lstStyle/>
          <a:p>
            <a:pPr>
              <a:defRPr sz="1100" b="1" i="0" u="none" strike="noStrike" kern="1200" baseline="0">
                <a:solidFill>
                  <a:srgbClr val="636468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</c:legendEntry>
      <c:legendEntry>
        <c:idx val="2"/>
        <c:txPr>
          <a:bodyPr rot="0" spcFirstLastPara="1" vertOverflow="ellipsis" vert="horz" wrap="square" anchor="ctr" anchorCtr="1"/>
          <a:lstStyle/>
          <a:p>
            <a:pPr>
              <a:defRPr sz="1100" b="1" i="0" u="none" strike="noStrike" kern="1200" baseline="0">
                <a:solidFill>
                  <a:srgbClr val="EC9618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</c:legendEntry>
      <c:legendEntry>
        <c:idx val="3"/>
        <c:txPr>
          <a:bodyPr rot="0" spcFirstLastPara="1" vertOverflow="ellipsis" vert="horz" wrap="square" anchor="ctr" anchorCtr="1"/>
          <a:lstStyle/>
          <a:p>
            <a:pPr>
              <a:defRPr sz="1100" b="1" i="0" u="none" strike="noStrike" kern="1200" baseline="0">
                <a:solidFill>
                  <a:srgbClr val="E25E1A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</c:legendEntry>
      <c:legendEntry>
        <c:idx val="4"/>
        <c:delete val="1"/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1100" b="0">
          <a:solidFill>
            <a:schemeClr val="tx1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image" Target="../media/image2.png"/><Relationship Id="rId7" Type="http://schemas.openxmlformats.org/officeDocument/2006/relationships/chart" Target="../charts/chart5.xml"/><Relationship Id="rId2" Type="http://schemas.openxmlformats.org/officeDocument/2006/relationships/image" Target="../media/image1.png"/><Relationship Id="rId1" Type="http://schemas.openxmlformats.org/officeDocument/2006/relationships/chart" Target="../charts/chart1.xml"/><Relationship Id="rId6" Type="http://schemas.openxmlformats.org/officeDocument/2006/relationships/chart" Target="../charts/chart4.xml"/><Relationship Id="rId5" Type="http://schemas.openxmlformats.org/officeDocument/2006/relationships/chart" Target="../charts/chart3.xml"/><Relationship Id="rId4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chart" Target="../charts/chart9.xml"/><Relationship Id="rId7" Type="http://schemas.openxmlformats.org/officeDocument/2006/relationships/chart" Target="../charts/chart11.xml"/><Relationship Id="rId2" Type="http://schemas.openxmlformats.org/officeDocument/2006/relationships/chart" Target="../charts/chart8.xml"/><Relationship Id="rId1" Type="http://schemas.openxmlformats.org/officeDocument/2006/relationships/chart" Target="../charts/chart7.xml"/><Relationship Id="rId6" Type="http://schemas.openxmlformats.org/officeDocument/2006/relationships/image" Target="../media/image2.png"/><Relationship Id="rId5" Type="http://schemas.openxmlformats.org/officeDocument/2006/relationships/chart" Target="../charts/chart10.xml"/><Relationship Id="rId4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633075</xdr:colOff>
      <xdr:row>16</xdr:row>
      <xdr:rowOff>123856</xdr:rowOff>
    </xdr:from>
    <xdr:to>
      <xdr:col>17</xdr:col>
      <xdr:colOff>21575</xdr:colOff>
      <xdr:row>37</xdr:row>
      <xdr:rowOff>30106</xdr:rowOff>
    </xdr:to>
    <xdr:graphicFrame macro="">
      <xdr:nvGraphicFramePr>
        <xdr:cNvPr id="2" name="Chart 32">
          <a:extLst>
            <a:ext uri="{FF2B5EF4-FFF2-40B4-BE49-F238E27FC236}">
              <a16:creationId xmlns:a16="http://schemas.microsoft.com/office/drawing/2014/main" id="{4B6488A2-F052-40B7-B5E5-EADD107F9B1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48</xdr:row>
      <xdr:rowOff>123825</xdr:rowOff>
    </xdr:from>
    <xdr:to>
      <xdr:col>2</xdr:col>
      <xdr:colOff>314325</xdr:colOff>
      <xdr:row>54</xdr:row>
      <xdr:rowOff>9525</xdr:rowOff>
    </xdr:to>
    <xdr:sp macro="" textlink="">
      <xdr:nvSpPr>
        <xdr:cNvPr id="3" name="Text Box 42">
          <a:extLst>
            <a:ext uri="{FF2B5EF4-FFF2-40B4-BE49-F238E27FC236}">
              <a16:creationId xmlns:a16="http://schemas.microsoft.com/office/drawing/2014/main" id="{E122F4AA-6B7E-4F9A-B86A-765F86EBC382}"/>
            </a:ext>
          </a:extLst>
        </xdr:cNvPr>
        <xdr:cNvSpPr txBox="1">
          <a:spLocks noChangeArrowheads="1"/>
        </xdr:cNvSpPr>
      </xdr:nvSpPr>
      <xdr:spPr bwMode="auto">
        <a:xfrm>
          <a:off x="304800" y="8696325"/>
          <a:ext cx="1800225" cy="8572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0" tIns="0" rIns="0" bIns="0" anchor="t" anchorCtr="0" upright="1">
          <a:noAutofit/>
        </a:bodyPr>
        <a:lstStyle/>
        <a:p>
          <a:pPr>
            <a:spcAft>
              <a:spcPts val="0"/>
            </a:spcAft>
          </a:pPr>
          <a:r>
            <a:rPr lang="es-ES_tradnl" sz="700">
              <a:effectLst/>
              <a:latin typeface="Arial" panose="020B0604020202020204" pitchFamily="34" charset="0"/>
              <a:ea typeface="Times New Roman" panose="02020603050405020304" pitchFamily="18" charset="0"/>
            </a:rPr>
            <a:t>Carrera 30 N°. 25 - 90</a:t>
          </a:r>
          <a:endParaRPr lang="es-CO" sz="10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spcAft>
              <a:spcPts val="0"/>
            </a:spcAft>
          </a:pPr>
          <a:r>
            <a:rPr lang="es-ES_tradnl" sz="700">
              <a:effectLst/>
              <a:latin typeface="Arial" panose="020B0604020202020204" pitchFamily="34" charset="0"/>
              <a:ea typeface="Times New Roman" panose="02020603050405020304" pitchFamily="18" charset="0"/>
            </a:rPr>
            <a:t>PBX: (571) 338 5000 - Información: Línea 195</a:t>
          </a:r>
          <a:endParaRPr lang="es-CO" sz="10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spcAft>
              <a:spcPts val="0"/>
            </a:spcAft>
          </a:pPr>
          <a:r>
            <a:rPr lang="es-ES_tradnl" sz="700">
              <a:effectLst/>
              <a:latin typeface="Arial" panose="020B0604020202020204" pitchFamily="34" charset="0"/>
              <a:ea typeface="Times New Roman" panose="02020603050405020304" pitchFamily="18" charset="0"/>
            </a:rPr>
            <a:t>www.haciendabogota.gov.co</a:t>
          </a:r>
          <a:endParaRPr lang="es-CO" sz="10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spcAft>
              <a:spcPts val="0"/>
            </a:spcAft>
          </a:pPr>
          <a:r>
            <a:rPr lang="es-ES_tradnl" sz="700">
              <a:effectLst/>
              <a:latin typeface="Arial" panose="020B0604020202020204" pitchFamily="34" charset="0"/>
              <a:ea typeface="Times New Roman" panose="02020603050405020304" pitchFamily="18" charset="0"/>
            </a:rPr>
            <a:t>NIT 899.999.061-9</a:t>
          </a:r>
          <a:endParaRPr lang="es-CO" sz="10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spcAft>
              <a:spcPts val="0"/>
            </a:spcAft>
          </a:pPr>
          <a:r>
            <a:rPr lang="es-ES_tradnl" sz="700">
              <a:effectLst/>
              <a:latin typeface="Arial" panose="020B0604020202020204" pitchFamily="34" charset="0"/>
              <a:ea typeface="Times New Roman" panose="02020603050405020304" pitchFamily="18" charset="0"/>
            </a:rPr>
            <a:t>Bogotá, D.C. - Colombia</a:t>
          </a:r>
          <a:endParaRPr lang="es-CO" sz="10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spcAft>
              <a:spcPts val="0"/>
            </a:spcAft>
          </a:pPr>
          <a:r>
            <a:rPr lang="es-ES_tradnl" sz="700">
              <a:effectLst/>
              <a:latin typeface="Arial" panose="020B0604020202020204" pitchFamily="34" charset="0"/>
              <a:ea typeface="Times New Roman" panose="02020603050405020304" pitchFamily="18" charset="0"/>
            </a:rPr>
            <a:t>Código Postal 111311</a:t>
          </a:r>
          <a:endParaRPr lang="es-CO" sz="10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spcAft>
              <a:spcPts val="0"/>
            </a:spcAft>
          </a:pPr>
          <a:r>
            <a:rPr lang="es-ES_tradnl" sz="700">
              <a:effectLst/>
              <a:latin typeface="Arial" panose="020B0604020202020204" pitchFamily="34" charset="0"/>
              <a:ea typeface="Times New Roman" panose="02020603050405020304" pitchFamily="18" charset="0"/>
            </a:rPr>
            <a:t> </a:t>
          </a:r>
          <a:endParaRPr lang="es-CO" sz="10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>
    <xdr:from>
      <xdr:col>2</xdr:col>
      <xdr:colOff>294134</xdr:colOff>
      <xdr:row>48</xdr:row>
      <xdr:rowOff>19049</xdr:rowOff>
    </xdr:from>
    <xdr:to>
      <xdr:col>4</xdr:col>
      <xdr:colOff>135361</xdr:colOff>
      <xdr:row>53</xdr:row>
      <xdr:rowOff>19049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9853B3CF-AEEF-4246-B175-049CFC2EF7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84834" y="8591549"/>
          <a:ext cx="2584427" cy="809625"/>
        </a:xfrm>
        <a:prstGeom prst="rect">
          <a:avLst/>
        </a:prstGeom>
      </xdr:spPr>
    </xdr:pic>
    <xdr:clientData/>
  </xdr:twoCellAnchor>
  <xdr:twoCellAnchor editAs="oneCell">
    <xdr:from>
      <xdr:col>9</xdr:col>
      <xdr:colOff>284694</xdr:colOff>
      <xdr:row>5</xdr:row>
      <xdr:rowOff>68360</xdr:rowOff>
    </xdr:from>
    <xdr:to>
      <xdr:col>15</xdr:col>
      <xdr:colOff>695325</xdr:colOff>
      <xdr:row>10</xdr:row>
      <xdr:rowOff>31297</xdr:rowOff>
    </xdr:to>
    <xdr:pic>
      <xdr:nvPicPr>
        <xdr:cNvPr id="5" name="Imagen 4" descr="Logotipo&#10;&#10;Descripción generada automáticamente">
          <a:extLst>
            <a:ext uri="{FF2B5EF4-FFF2-40B4-BE49-F238E27FC236}">
              <a16:creationId xmlns:a16="http://schemas.microsoft.com/office/drawing/2014/main" id="{CAE0C099-19FB-490F-AD65-E8439DF1093D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2948" r="1351" b="8554"/>
        <a:stretch/>
      </xdr:blipFill>
      <xdr:spPr bwMode="auto">
        <a:xfrm>
          <a:off x="9714444" y="1039910"/>
          <a:ext cx="5306481" cy="112498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789708</xdr:colOff>
      <xdr:row>0</xdr:row>
      <xdr:rowOff>0</xdr:rowOff>
    </xdr:from>
    <xdr:to>
      <xdr:col>10</xdr:col>
      <xdr:colOff>31754</xdr:colOff>
      <xdr:row>16</xdr:row>
      <xdr:rowOff>139699</xdr:rowOff>
    </xdr:to>
    <xdr:graphicFrame macro="">
      <xdr:nvGraphicFramePr>
        <xdr:cNvPr id="6" name="12 Gráfico">
          <a:extLst>
            <a:ext uri="{FF2B5EF4-FFF2-40B4-BE49-F238E27FC236}">
              <a16:creationId xmlns:a16="http://schemas.microsoft.com/office/drawing/2014/main" id="{032B32D0-A91A-4476-9761-E67C615B6F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16</xdr:row>
      <xdr:rowOff>145472</xdr:rowOff>
    </xdr:from>
    <xdr:to>
      <xdr:col>4</xdr:col>
      <xdr:colOff>599791</xdr:colOff>
      <xdr:row>37</xdr:row>
      <xdr:rowOff>41504</xdr:rowOff>
    </xdr:to>
    <xdr:graphicFrame macro="">
      <xdr:nvGraphicFramePr>
        <xdr:cNvPr id="7" name="9 Gráfico">
          <a:extLst>
            <a:ext uri="{FF2B5EF4-FFF2-40B4-BE49-F238E27FC236}">
              <a16:creationId xmlns:a16="http://schemas.microsoft.com/office/drawing/2014/main" id="{ECF5773C-7C92-465A-B541-3DECBBC465B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785898</xdr:colOff>
      <xdr:row>17</xdr:row>
      <xdr:rowOff>57322</xdr:rowOff>
    </xdr:from>
    <xdr:to>
      <xdr:col>10</xdr:col>
      <xdr:colOff>35564</xdr:colOff>
      <xdr:row>37</xdr:row>
      <xdr:rowOff>106966</xdr:rowOff>
    </xdr:to>
    <xdr:graphicFrame macro="">
      <xdr:nvGraphicFramePr>
        <xdr:cNvPr id="8" name="Chart 16">
          <a:extLst>
            <a:ext uri="{FF2B5EF4-FFF2-40B4-BE49-F238E27FC236}">
              <a16:creationId xmlns:a16="http://schemas.microsoft.com/office/drawing/2014/main" id="{032ED8DB-586D-42D7-AD37-BF4EE4FA055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11</xdr:col>
      <xdr:colOff>105815</xdr:colOff>
      <xdr:row>36</xdr:row>
      <xdr:rowOff>49185</xdr:rowOff>
    </xdr:from>
    <xdr:to>
      <xdr:col>17</xdr:col>
      <xdr:colOff>337768</xdr:colOff>
      <xdr:row>55</xdr:row>
      <xdr:rowOff>88438</xdr:rowOff>
    </xdr:to>
    <xdr:graphicFrame macro="">
      <xdr:nvGraphicFramePr>
        <xdr:cNvPr id="9" name="11 Gráfico">
          <a:extLst>
            <a:ext uri="{FF2B5EF4-FFF2-40B4-BE49-F238E27FC236}">
              <a16:creationId xmlns:a16="http://schemas.microsoft.com/office/drawing/2014/main" id="{CD37DB18-4975-4093-9E10-7004B21563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561975</xdr:colOff>
      <xdr:row>36</xdr:row>
      <xdr:rowOff>123825</xdr:rowOff>
    </xdr:from>
    <xdr:to>
      <xdr:col>11</xdr:col>
      <xdr:colOff>213782</xdr:colOff>
      <xdr:row>54</xdr:row>
      <xdr:rowOff>47625</xdr:rowOff>
    </xdr:to>
    <xdr:graphicFrame macro="">
      <xdr:nvGraphicFramePr>
        <xdr:cNvPr id="10" name="Gráfico 9">
          <a:extLst>
            <a:ext uri="{FF2B5EF4-FFF2-40B4-BE49-F238E27FC236}">
              <a16:creationId xmlns:a16="http://schemas.microsoft.com/office/drawing/2014/main" id="{3AF6F876-DEA0-40AA-A259-A87C7769D49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</cdr:x>
      <cdr:y>0.03553</cdr:y>
    </cdr:from>
    <cdr:to>
      <cdr:x>0.99493</cdr:x>
      <cdr:y>0.17086</cdr:y>
    </cdr:to>
    <cdr:sp macro="" textlink="">
      <cdr:nvSpPr>
        <cdr:cNvPr id="2" name="CuadroTexto 1"/>
        <cdr:cNvSpPr txBox="1"/>
      </cdr:nvSpPr>
      <cdr:spPr>
        <a:xfrm xmlns:a="http://schemas.openxmlformats.org/drawingml/2006/main">
          <a:off x="0" y="101092"/>
          <a:ext cx="4562032" cy="38511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400" b="1" i="0" baseline="0">
              <a:solidFill>
                <a:sysClr val="windowText" lastClr="000000"/>
              </a:solidFill>
              <a:effectLst/>
              <a:latin typeface="Corbel" panose="020B0503020204020204" pitchFamily="34" charset="0"/>
              <a:ea typeface="+mn-ea"/>
              <a:cs typeface="+mn-cs"/>
            </a:rPr>
            <a:t>COMPOSICIÓN POR MONEDA</a:t>
          </a:r>
          <a:endParaRPr lang="es-CO" sz="1400" b="1">
            <a:solidFill>
              <a:sysClr val="windowText" lastClr="000000"/>
            </a:solidFill>
            <a:effectLst/>
            <a:latin typeface="Corbel" panose="020B0503020204020204" pitchFamily="34" charset="0"/>
          </a:endParaRPr>
        </a:p>
        <a:p xmlns:a="http://schemas.openxmlformats.org/drawingml/2006/main">
          <a:endParaRPr lang="es-CO" sz="1400"/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1287179</xdr:colOff>
      <xdr:row>6</xdr:row>
      <xdr:rowOff>36195</xdr:rowOff>
    </xdr:from>
    <xdr:to>
      <xdr:col>5</xdr:col>
      <xdr:colOff>1739939</xdr:colOff>
      <xdr:row>22</xdr:row>
      <xdr:rowOff>77700</xdr:rowOff>
    </xdr:to>
    <xdr:graphicFrame macro="">
      <xdr:nvGraphicFramePr>
        <xdr:cNvPr id="2" name="12 Gráfico">
          <a:extLst>
            <a:ext uri="{FF2B5EF4-FFF2-40B4-BE49-F238E27FC236}">
              <a16:creationId xmlns:a16="http://schemas.microsoft.com/office/drawing/2014/main" id="{E2249576-E601-43EC-B8A5-B668A085210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22860</xdr:colOff>
      <xdr:row>22</xdr:row>
      <xdr:rowOff>99</xdr:rowOff>
    </xdr:from>
    <xdr:to>
      <xdr:col>2</xdr:col>
      <xdr:colOff>1108080</xdr:colOff>
      <xdr:row>42</xdr:row>
      <xdr:rowOff>39699</xdr:rowOff>
    </xdr:to>
    <xdr:graphicFrame macro="">
      <xdr:nvGraphicFramePr>
        <xdr:cNvPr id="3" name="9 Gráfico">
          <a:extLst>
            <a:ext uri="{FF2B5EF4-FFF2-40B4-BE49-F238E27FC236}">
              <a16:creationId xmlns:a16="http://schemas.microsoft.com/office/drawing/2014/main" id="{22BBD072-CFE5-4CC0-823D-2D5AFEDE96F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198120</xdr:colOff>
      <xdr:row>42</xdr:row>
      <xdr:rowOff>1903</xdr:rowOff>
    </xdr:from>
    <xdr:to>
      <xdr:col>12</xdr:col>
      <xdr:colOff>528960</xdr:colOff>
      <xdr:row>63</xdr:row>
      <xdr:rowOff>142468</xdr:rowOff>
    </xdr:to>
    <xdr:graphicFrame macro="">
      <xdr:nvGraphicFramePr>
        <xdr:cNvPr id="4" name="11 Gráfico">
          <a:extLst>
            <a:ext uri="{FF2B5EF4-FFF2-40B4-BE49-F238E27FC236}">
              <a16:creationId xmlns:a16="http://schemas.microsoft.com/office/drawing/2014/main" id="{46A16A92-CB7B-487C-9239-60959D81ABA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171450</xdr:colOff>
      <xdr:row>58</xdr:row>
      <xdr:rowOff>0</xdr:rowOff>
    </xdr:from>
    <xdr:to>
      <xdr:col>0</xdr:col>
      <xdr:colOff>2339824</xdr:colOff>
      <xdr:row>60</xdr:row>
      <xdr:rowOff>154698</xdr:rowOff>
    </xdr:to>
    <xdr:sp macro="" textlink="">
      <xdr:nvSpPr>
        <xdr:cNvPr id="5" name="Text Box 42">
          <a:extLst>
            <a:ext uri="{FF2B5EF4-FFF2-40B4-BE49-F238E27FC236}">
              <a16:creationId xmlns:a16="http://schemas.microsoft.com/office/drawing/2014/main" id="{81ABC620-7E00-4A18-B94A-D53357B2EE37}"/>
            </a:ext>
          </a:extLst>
        </xdr:cNvPr>
        <xdr:cNvSpPr txBox="1">
          <a:spLocks noChangeArrowheads="1"/>
        </xdr:cNvSpPr>
      </xdr:nvSpPr>
      <xdr:spPr bwMode="auto">
        <a:xfrm>
          <a:off x="171450" y="9991725"/>
          <a:ext cx="2168374" cy="478548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0" tIns="0" rIns="0" bIns="0" anchor="t" anchorCtr="0" upright="1">
          <a:noAutofit/>
        </a:bodyPr>
        <a:lstStyle/>
        <a:p>
          <a:pPr>
            <a:spcAft>
              <a:spcPts val="0"/>
            </a:spcAft>
          </a:pPr>
          <a:r>
            <a:rPr lang="es-ES_tradnl" sz="700">
              <a:effectLst/>
              <a:latin typeface="Arial" panose="020B0604020202020204" pitchFamily="34" charset="0"/>
              <a:ea typeface="Times New Roman" panose="02020603050405020304" pitchFamily="18" charset="0"/>
            </a:rPr>
            <a:t>Carrera 30 N°. 25 - 90</a:t>
          </a:r>
          <a:endParaRPr lang="es-CO" sz="10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spcAft>
              <a:spcPts val="0"/>
            </a:spcAft>
          </a:pPr>
          <a:r>
            <a:rPr lang="es-ES_tradnl" sz="700">
              <a:effectLst/>
              <a:latin typeface="Arial" panose="020B0604020202020204" pitchFamily="34" charset="0"/>
              <a:ea typeface="Times New Roman" panose="02020603050405020304" pitchFamily="18" charset="0"/>
            </a:rPr>
            <a:t>PBX: (571) 338 5000 - Información: Línea 195</a:t>
          </a:r>
          <a:endParaRPr lang="es-CO" sz="10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spcAft>
              <a:spcPts val="0"/>
            </a:spcAft>
          </a:pPr>
          <a:r>
            <a:rPr lang="es-ES_tradnl" sz="700">
              <a:effectLst/>
              <a:latin typeface="Arial" panose="020B0604020202020204" pitchFamily="34" charset="0"/>
              <a:ea typeface="Times New Roman" panose="02020603050405020304" pitchFamily="18" charset="0"/>
            </a:rPr>
            <a:t>www.haciendabogota.gov.co</a:t>
          </a:r>
          <a:endParaRPr lang="es-CO" sz="10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spcAft>
              <a:spcPts val="0"/>
            </a:spcAft>
          </a:pPr>
          <a:r>
            <a:rPr lang="es-ES_tradnl" sz="700">
              <a:effectLst/>
              <a:latin typeface="Arial" panose="020B0604020202020204" pitchFamily="34" charset="0"/>
              <a:ea typeface="Times New Roman" panose="02020603050405020304" pitchFamily="18" charset="0"/>
            </a:rPr>
            <a:t>NIT 899.999.061-9</a:t>
          </a:r>
          <a:endParaRPr lang="es-CO" sz="10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spcAft>
              <a:spcPts val="0"/>
            </a:spcAft>
          </a:pPr>
          <a:r>
            <a:rPr lang="es-ES_tradnl" sz="700">
              <a:effectLst/>
              <a:latin typeface="Arial" panose="020B0604020202020204" pitchFamily="34" charset="0"/>
              <a:ea typeface="Times New Roman" panose="02020603050405020304" pitchFamily="18" charset="0"/>
            </a:rPr>
            <a:t>Bogotá, D.C. - Colombia</a:t>
          </a:r>
          <a:endParaRPr lang="es-CO" sz="10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spcAft>
              <a:spcPts val="0"/>
            </a:spcAft>
          </a:pPr>
          <a:r>
            <a:rPr lang="es-ES_tradnl" sz="700">
              <a:effectLst/>
              <a:latin typeface="Arial" panose="020B0604020202020204" pitchFamily="34" charset="0"/>
              <a:ea typeface="Times New Roman" panose="02020603050405020304" pitchFamily="18" charset="0"/>
            </a:rPr>
            <a:t>Código Postal 111311</a:t>
          </a:r>
          <a:endParaRPr lang="es-CO" sz="10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spcAft>
              <a:spcPts val="0"/>
            </a:spcAft>
          </a:pPr>
          <a:r>
            <a:rPr lang="es-ES_tradnl" sz="700">
              <a:effectLst/>
              <a:latin typeface="Arial" panose="020B0604020202020204" pitchFamily="34" charset="0"/>
              <a:ea typeface="Times New Roman" panose="02020603050405020304" pitchFamily="18" charset="0"/>
            </a:rPr>
            <a:t> </a:t>
          </a:r>
          <a:endParaRPr lang="es-CO" sz="10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>
    <xdr:from>
      <xdr:col>0</xdr:col>
      <xdr:colOff>2242037</xdr:colOff>
      <xdr:row>57</xdr:row>
      <xdr:rowOff>68580</xdr:rowOff>
    </xdr:from>
    <xdr:to>
      <xdr:col>2</xdr:col>
      <xdr:colOff>433686</xdr:colOff>
      <xdr:row>61</xdr:row>
      <xdr:rowOff>97155</xdr:rowOff>
    </xdr:to>
    <xdr:pic>
      <xdr:nvPicPr>
        <xdr:cNvPr id="6" name="Imagen 25">
          <a:extLst>
            <a:ext uri="{FF2B5EF4-FFF2-40B4-BE49-F238E27FC236}">
              <a16:creationId xmlns:a16="http://schemas.microsoft.com/office/drawing/2014/main" id="{2C6BDABB-5F1A-42AF-9E3B-93B821C931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2037" y="9898380"/>
          <a:ext cx="2239774" cy="676275"/>
        </a:xfrm>
        <a:prstGeom prst="rect">
          <a:avLst/>
        </a:prstGeom>
      </xdr:spPr>
    </xdr:pic>
    <xdr:clientData/>
  </xdr:twoCellAnchor>
  <xdr:twoCellAnchor>
    <xdr:from>
      <xdr:col>2</xdr:col>
      <xdr:colOff>1242059</xdr:colOff>
      <xdr:row>22</xdr:row>
      <xdr:rowOff>20955</xdr:rowOff>
    </xdr:from>
    <xdr:to>
      <xdr:col>5</xdr:col>
      <xdr:colOff>1694819</xdr:colOff>
      <xdr:row>42</xdr:row>
      <xdr:rowOff>60555</xdr:rowOff>
    </xdr:to>
    <xdr:graphicFrame macro="">
      <xdr:nvGraphicFramePr>
        <xdr:cNvPr id="7" name="Chart 16">
          <a:extLst>
            <a:ext uri="{FF2B5EF4-FFF2-40B4-BE49-F238E27FC236}">
              <a16:creationId xmlns:a16="http://schemas.microsoft.com/office/drawing/2014/main" id="{36797D92-21F7-4A9B-8E53-9DAB333B141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3</xdr:col>
      <xdr:colOff>122465</xdr:colOff>
      <xdr:row>0</xdr:row>
      <xdr:rowOff>136071</xdr:rowOff>
    </xdr:from>
    <xdr:to>
      <xdr:col>5</xdr:col>
      <xdr:colOff>1562209</xdr:colOff>
      <xdr:row>5</xdr:row>
      <xdr:rowOff>45448</xdr:rowOff>
    </xdr:to>
    <xdr:pic>
      <xdr:nvPicPr>
        <xdr:cNvPr id="8" name="Imagen 7" descr="Logotipo&#10;&#10;Descripción generada automáticamente">
          <a:extLst>
            <a:ext uri="{FF2B5EF4-FFF2-40B4-BE49-F238E27FC236}">
              <a16:creationId xmlns:a16="http://schemas.microsoft.com/office/drawing/2014/main" id="{243FB2AC-B359-44D9-AA51-A86BA62E4F38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2948" r="1351" b="8554"/>
        <a:stretch/>
      </xdr:blipFill>
      <xdr:spPr bwMode="auto">
        <a:xfrm>
          <a:off x="6056540" y="136071"/>
          <a:ext cx="4011494" cy="8428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179070</xdr:colOff>
      <xdr:row>21</xdr:row>
      <xdr:rowOff>57150</xdr:rowOff>
    </xdr:from>
    <xdr:to>
      <xdr:col>12</xdr:col>
      <xdr:colOff>424647</xdr:colOff>
      <xdr:row>41</xdr:row>
      <xdr:rowOff>110778</xdr:rowOff>
    </xdr:to>
    <xdr:graphicFrame macro="">
      <xdr:nvGraphicFramePr>
        <xdr:cNvPr id="9" name="Chart 32">
          <a:extLst>
            <a:ext uri="{FF2B5EF4-FFF2-40B4-BE49-F238E27FC236}">
              <a16:creationId xmlns:a16="http://schemas.microsoft.com/office/drawing/2014/main" id="{A1C9F608-4215-41F9-8783-4DF75BB300E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895350</xdr:colOff>
      <xdr:row>43</xdr:row>
      <xdr:rowOff>76200</xdr:rowOff>
    </xdr:from>
    <xdr:to>
      <xdr:col>6</xdr:col>
      <xdr:colOff>604307</xdr:colOff>
      <xdr:row>63</xdr:row>
      <xdr:rowOff>114300</xdr:rowOff>
    </xdr:to>
    <xdr:graphicFrame macro="">
      <xdr:nvGraphicFramePr>
        <xdr:cNvPr id="10" name="Gráfico 9">
          <a:extLst>
            <a:ext uri="{FF2B5EF4-FFF2-40B4-BE49-F238E27FC236}">
              <a16:creationId xmlns:a16="http://schemas.microsoft.com/office/drawing/2014/main" id="{8E32EBB6-4E11-400F-904E-92C57066798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</cdr:x>
      <cdr:y>0.03553</cdr:y>
    </cdr:from>
    <cdr:to>
      <cdr:x>0.99493</cdr:x>
      <cdr:y>0.17086</cdr:y>
    </cdr:to>
    <cdr:sp macro="" textlink="">
      <cdr:nvSpPr>
        <cdr:cNvPr id="2" name="CuadroTexto 1"/>
        <cdr:cNvSpPr txBox="1"/>
      </cdr:nvSpPr>
      <cdr:spPr>
        <a:xfrm xmlns:a="http://schemas.openxmlformats.org/drawingml/2006/main">
          <a:off x="0" y="101092"/>
          <a:ext cx="4562032" cy="38511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400" b="1" i="0" baseline="0">
              <a:solidFill>
                <a:sysClr val="windowText" lastClr="000000"/>
              </a:solidFill>
              <a:effectLst/>
              <a:latin typeface="Corbel" panose="020B0503020204020204" pitchFamily="34" charset="0"/>
              <a:ea typeface="+mn-ea"/>
              <a:cs typeface="+mn-cs"/>
            </a:rPr>
            <a:t>COMPOSICIÓN POR MONEDA</a:t>
          </a:r>
          <a:endParaRPr lang="es-CO" sz="1400" b="1">
            <a:solidFill>
              <a:sysClr val="windowText" lastClr="000000"/>
            </a:solidFill>
            <a:effectLst/>
            <a:latin typeface="Corbel" panose="020B0503020204020204" pitchFamily="34" charset="0"/>
          </a:endParaRPr>
        </a:p>
        <a:p xmlns:a="http://schemas.openxmlformats.org/drawingml/2006/main">
          <a:endParaRPr lang="es-CO" sz="1400"/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323849</xdr:colOff>
      <xdr:row>0</xdr:row>
      <xdr:rowOff>0</xdr:rowOff>
    </xdr:from>
    <xdr:to>
      <xdr:col>11</xdr:col>
      <xdr:colOff>414587</xdr:colOff>
      <xdr:row>4</xdr:row>
      <xdr:rowOff>152401</xdr:rowOff>
    </xdr:to>
    <xdr:pic>
      <xdr:nvPicPr>
        <xdr:cNvPr id="2" name="Imagen 1" descr="Logotipo&#10;&#10;Descripción generada automáticamente">
          <a:extLst>
            <a:ext uri="{FF2B5EF4-FFF2-40B4-BE49-F238E27FC236}">
              <a16:creationId xmlns:a16="http://schemas.microsoft.com/office/drawing/2014/main" id="{EB1E33B6-7243-46B0-833A-E1B1688AA7DD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2948" r="1351" b="8554"/>
        <a:stretch/>
      </xdr:blipFill>
      <xdr:spPr bwMode="auto">
        <a:xfrm>
          <a:off x="5029199" y="0"/>
          <a:ext cx="4043613" cy="8572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haciendabogota.gov.c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A3C6FD-246C-4801-B0D8-D9B83E33AFD7}">
  <sheetPr>
    <tabColor rgb="FF00FF00"/>
    <pageSetUpPr fitToPage="1"/>
  </sheetPr>
  <dimension ref="B1:K48"/>
  <sheetViews>
    <sheetView tabSelected="1" view="pageBreakPreview" zoomScale="60" zoomScaleNormal="70" workbookViewId="0"/>
  </sheetViews>
  <sheetFormatPr baseColWidth="10" defaultColWidth="11.42578125" defaultRowHeight="12.75" x14ac:dyDescent="0.2"/>
  <cols>
    <col min="1" max="1" width="4.5703125" style="244" customWidth="1"/>
    <col min="2" max="2" width="22.28515625" style="244" customWidth="1"/>
    <col min="3" max="3" width="19.28515625" style="244" customWidth="1"/>
    <col min="4" max="4" width="21.85546875" style="244" bestFit="1" customWidth="1"/>
    <col min="5" max="5" width="20" style="244" bestFit="1" customWidth="1"/>
    <col min="6" max="6" width="15.42578125" style="244" bestFit="1" customWidth="1"/>
    <col min="7" max="7" width="15.140625" style="244" bestFit="1" customWidth="1"/>
    <col min="8" max="13" width="11.42578125" style="244"/>
    <col min="14" max="14" width="15" style="244" customWidth="1"/>
    <col min="15" max="15" width="12.7109375" style="244" bestFit="1" customWidth="1"/>
    <col min="16" max="16" width="11.42578125" style="244"/>
    <col min="17" max="17" width="8.140625" style="244" customWidth="1"/>
    <col min="18" max="16384" width="11.42578125" style="244"/>
  </cols>
  <sheetData>
    <row r="1" spans="2:6" ht="18" x14ac:dyDescent="0.25">
      <c r="B1" s="249" t="s">
        <v>149</v>
      </c>
      <c r="C1" s="291"/>
    </row>
    <row r="2" spans="2:6" ht="18" x14ac:dyDescent="0.25">
      <c r="B2" s="249" t="s">
        <v>170</v>
      </c>
      <c r="C2" s="291"/>
    </row>
    <row r="3" spans="2:6" x14ac:dyDescent="0.2">
      <c r="B3" s="1" t="s">
        <v>171</v>
      </c>
    </row>
    <row r="4" spans="2:6" ht="15" x14ac:dyDescent="0.2">
      <c r="B4" s="292" t="s">
        <v>151</v>
      </c>
      <c r="C4" s="292"/>
      <c r="D4" s="252">
        <v>45688</v>
      </c>
      <c r="E4" s="293"/>
    </row>
    <row r="5" spans="2:6" x14ac:dyDescent="0.2">
      <c r="E5" s="261"/>
    </row>
    <row r="6" spans="2:6" ht="18" x14ac:dyDescent="0.25">
      <c r="B6" s="294" t="s">
        <v>172</v>
      </c>
      <c r="C6" s="295"/>
      <c r="D6" s="296">
        <v>10.835180036030705</v>
      </c>
      <c r="E6" s="297"/>
      <c r="F6" s="298"/>
    </row>
    <row r="7" spans="2:6" ht="18" x14ac:dyDescent="0.25">
      <c r="B7" s="249"/>
      <c r="C7" s="291"/>
      <c r="D7" s="299"/>
      <c r="E7" s="300"/>
      <c r="F7" s="301"/>
    </row>
    <row r="8" spans="2:6" ht="18" x14ac:dyDescent="0.25">
      <c r="B8" s="264" t="s">
        <v>154</v>
      </c>
      <c r="C8" s="302"/>
      <c r="D8" s="265">
        <v>8.0704330304828442</v>
      </c>
      <c r="E8" s="303"/>
      <c r="F8" s="298"/>
    </row>
    <row r="9" spans="2:6" ht="18.75" x14ac:dyDescent="0.3">
      <c r="B9" s="264" t="s">
        <v>155</v>
      </c>
      <c r="C9" s="302"/>
      <c r="D9" s="265">
        <v>2.6293666437000001</v>
      </c>
      <c r="E9" s="298"/>
      <c r="F9" s="298"/>
    </row>
    <row r="10" spans="2:6" ht="18.75" x14ac:dyDescent="0.3">
      <c r="B10" s="264" t="s">
        <v>156</v>
      </c>
      <c r="C10" s="302"/>
      <c r="D10" s="265">
        <v>0.12772556833683477</v>
      </c>
      <c r="E10" s="298"/>
      <c r="F10" s="298" t="s">
        <v>136</v>
      </c>
    </row>
    <row r="11" spans="2:6" ht="18.75" x14ac:dyDescent="0.3">
      <c r="B11" s="264" t="s">
        <v>157</v>
      </c>
      <c r="C11" s="302"/>
      <c r="D11" s="265">
        <v>7.6547935110254295E-3</v>
      </c>
    </row>
    <row r="12" spans="2:6" x14ac:dyDescent="0.2">
      <c r="B12" s="304" t="s">
        <v>164</v>
      </c>
      <c r="C12" s="305" t="s">
        <v>161</v>
      </c>
      <c r="D12" s="306">
        <v>378.16289999999998</v>
      </c>
    </row>
    <row r="13" spans="2:6" ht="13.5" customHeight="1" x14ac:dyDescent="0.2">
      <c r="B13" s="304" t="s">
        <v>136</v>
      </c>
      <c r="C13" s="305" t="s">
        <v>162</v>
      </c>
      <c r="D13" s="307">
        <v>4183.93</v>
      </c>
    </row>
    <row r="14" spans="2:6" x14ac:dyDescent="0.2">
      <c r="B14" s="308"/>
      <c r="C14" s="305" t="s">
        <v>163</v>
      </c>
      <c r="D14" s="309">
        <v>1.0392999999999999</v>
      </c>
    </row>
    <row r="17" spans="2:2" x14ac:dyDescent="0.2">
      <c r="B17" s="310"/>
    </row>
    <row r="34" spans="2:11" x14ac:dyDescent="0.2">
      <c r="K34" s="311"/>
    </row>
    <row r="43" spans="2:11" ht="18" x14ac:dyDescent="0.25">
      <c r="B43" s="264" t="s">
        <v>173</v>
      </c>
      <c r="C43" s="302"/>
      <c r="D43" s="312">
        <v>6953000.0000000009</v>
      </c>
      <c r="G43" s="247"/>
    </row>
    <row r="44" spans="2:11" ht="18" x14ac:dyDescent="0.25">
      <c r="B44" s="264" t="s">
        <v>174</v>
      </c>
      <c r="C44" s="302"/>
      <c r="D44" s="312">
        <v>30527.654223860045</v>
      </c>
      <c r="G44" s="247"/>
    </row>
    <row r="45" spans="2:11" ht="18" x14ac:dyDescent="0.25">
      <c r="B45" s="264" t="s">
        <v>175</v>
      </c>
      <c r="C45" s="302"/>
      <c r="D45" s="312">
        <v>1760.386960000001</v>
      </c>
      <c r="G45" s="313"/>
    </row>
    <row r="46" spans="2:11" x14ac:dyDescent="0.2">
      <c r="B46" s="314" t="s">
        <v>176</v>
      </c>
      <c r="C46" s="314"/>
      <c r="D46" s="314"/>
    </row>
    <row r="48" spans="2:11" x14ac:dyDescent="0.2">
      <c r="F48" s="285"/>
    </row>
  </sheetData>
  <mergeCells count="2">
    <mergeCell ref="B4:C4"/>
    <mergeCell ref="B46:D46"/>
  </mergeCells>
  <printOptions horizontalCentered="1" verticalCentered="1"/>
  <pageMargins left="0" right="0" top="0" bottom="0" header="0" footer="0"/>
  <pageSetup scale="59" orientation="landscape" r:id="rId1"/>
  <headerFooter scaleWithDoc="0"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F42481-4B75-4FBE-ADCF-5C853369343E}">
  <sheetPr>
    <tabColor indexed="12"/>
    <pageSetUpPr fitToPage="1"/>
  </sheetPr>
  <dimension ref="A1:K67"/>
  <sheetViews>
    <sheetView view="pageBreakPreview" zoomScale="60" zoomScaleNormal="100" workbookViewId="0"/>
  </sheetViews>
  <sheetFormatPr baseColWidth="10" defaultColWidth="11.42578125" defaultRowHeight="12.75" x14ac:dyDescent="0.2"/>
  <cols>
    <col min="1" max="1" width="37.28515625" style="244" customWidth="1"/>
    <col min="2" max="2" width="23.42578125" style="244" bestFit="1" customWidth="1"/>
    <col min="3" max="3" width="28.28515625" style="244" customWidth="1"/>
    <col min="4" max="4" width="24.140625" style="244" bestFit="1" customWidth="1"/>
    <col min="5" max="5" width="14.42578125" style="244" bestFit="1" customWidth="1"/>
    <col min="6" max="6" width="28.5703125" style="244" customWidth="1"/>
    <col min="7" max="11" width="11.42578125" style="244"/>
    <col min="12" max="12" width="11.42578125" style="244" customWidth="1"/>
    <col min="13" max="16384" width="11.42578125" style="244"/>
  </cols>
  <sheetData>
    <row r="1" spans="1:11" ht="15" x14ac:dyDescent="0.25">
      <c r="A1" s="244" t="s">
        <v>136</v>
      </c>
      <c r="C1"/>
      <c r="D1" s="245"/>
      <c r="F1" s="246"/>
    </row>
    <row r="2" spans="1:11" ht="15" x14ac:dyDescent="0.25">
      <c r="C2"/>
      <c r="D2" s="247"/>
      <c r="F2" s="248"/>
    </row>
    <row r="3" spans="1:11" ht="7.5" customHeight="1" x14ac:dyDescent="0.25">
      <c r="C3"/>
    </row>
    <row r="4" spans="1:11" ht="18" x14ac:dyDescent="0.25">
      <c r="A4" s="249" t="s">
        <v>149</v>
      </c>
      <c r="B4" s="250"/>
      <c r="C4"/>
      <c r="F4" s="251"/>
    </row>
    <row r="5" spans="1:11" ht="18" x14ac:dyDescent="0.25">
      <c r="A5" s="249" t="s">
        <v>150</v>
      </c>
      <c r="B5" s="250"/>
    </row>
    <row r="6" spans="1:11" ht="15" x14ac:dyDescent="0.2">
      <c r="A6" s="244" t="s">
        <v>151</v>
      </c>
      <c r="B6" s="252">
        <v>45688</v>
      </c>
      <c r="C6" s="253"/>
    </row>
    <row r="7" spans="1:11" ht="18" x14ac:dyDescent="0.25">
      <c r="A7" s="254" t="s">
        <v>152</v>
      </c>
      <c r="B7" s="254"/>
      <c r="C7" s="255"/>
      <c r="D7" s="256"/>
    </row>
    <row r="8" spans="1:11" ht="14.25" x14ac:dyDescent="0.2">
      <c r="C8" s="257"/>
      <c r="D8" s="258"/>
    </row>
    <row r="9" spans="1:11" ht="18" x14ac:dyDescent="0.25">
      <c r="A9" s="259" t="s">
        <v>153</v>
      </c>
      <c r="B9" s="260">
        <v>10.835180036030705</v>
      </c>
      <c r="C9" s="256"/>
      <c r="D9" s="261"/>
    </row>
    <row r="10" spans="1:11" ht="15.75" x14ac:dyDescent="0.25">
      <c r="A10" s="262"/>
      <c r="B10" s="263"/>
      <c r="C10" s="245"/>
      <c r="K10"/>
    </row>
    <row r="11" spans="1:11" ht="18" x14ac:dyDescent="0.25">
      <c r="A11" s="264" t="s">
        <v>154</v>
      </c>
      <c r="B11" s="265">
        <v>8.0704330304828442</v>
      </c>
      <c r="C11" s="245"/>
    </row>
    <row r="12" spans="1:11" ht="18.75" x14ac:dyDescent="0.3">
      <c r="A12" s="264" t="s">
        <v>155</v>
      </c>
      <c r="B12" s="265">
        <v>2.6293666437000001</v>
      </c>
      <c r="C12" s="245"/>
    </row>
    <row r="13" spans="1:11" ht="18.75" x14ac:dyDescent="0.3">
      <c r="A13" s="264" t="s">
        <v>156</v>
      </c>
      <c r="B13" s="265">
        <v>0.12772556833683477</v>
      </c>
      <c r="C13" s="245"/>
    </row>
    <row r="14" spans="1:11" ht="18.75" x14ac:dyDescent="0.3">
      <c r="A14" s="264" t="s">
        <v>157</v>
      </c>
      <c r="B14" s="266">
        <v>7.6547935110254295E-3</v>
      </c>
      <c r="C14" s="245"/>
    </row>
    <row r="15" spans="1:11" ht="9.75" customHeight="1" x14ac:dyDescent="0.25">
      <c r="A15" s="267"/>
      <c r="B15" s="267"/>
    </row>
    <row r="16" spans="1:11" ht="18" x14ac:dyDescent="0.25">
      <c r="A16" s="268" t="s">
        <v>158</v>
      </c>
      <c r="B16" s="269">
        <v>8.1809772619778727</v>
      </c>
      <c r="C16" s="270"/>
    </row>
    <row r="17" spans="1:10" ht="18" x14ac:dyDescent="0.25">
      <c r="A17" s="271" t="s">
        <v>159</v>
      </c>
      <c r="B17" s="269">
        <v>3.4988999902014815</v>
      </c>
      <c r="C17" s="270"/>
    </row>
    <row r="18" spans="1:10" ht="18" x14ac:dyDescent="0.25">
      <c r="A18" s="272" t="s">
        <v>160</v>
      </c>
      <c r="B18" s="273">
        <v>3.358586852264474</v>
      </c>
      <c r="C18" s="245"/>
    </row>
    <row r="19" spans="1:10" x14ac:dyDescent="0.2">
      <c r="A19" s="274" t="s">
        <v>161</v>
      </c>
      <c r="B19" s="275">
        <v>378.16289999999998</v>
      </c>
    </row>
    <row r="20" spans="1:10" x14ac:dyDescent="0.2">
      <c r="A20" s="274" t="s">
        <v>162</v>
      </c>
      <c r="B20" s="276">
        <v>4183.93</v>
      </c>
    </row>
    <row r="21" spans="1:10" ht="15.75" thickBot="1" x14ac:dyDescent="0.25">
      <c r="A21" s="277" t="s">
        <v>163</v>
      </c>
      <c r="B21" s="278">
        <v>1.0392999999999999</v>
      </c>
      <c r="J21" s="279"/>
    </row>
    <row r="22" spans="1:10" x14ac:dyDescent="0.2">
      <c r="A22" s="280" t="s">
        <v>164</v>
      </c>
    </row>
    <row r="49" spans="1:4" x14ac:dyDescent="0.2">
      <c r="B49" s="281"/>
    </row>
    <row r="50" spans="1:4" x14ac:dyDescent="0.2">
      <c r="B50" s="282"/>
    </row>
    <row r="52" spans="1:4" ht="15" x14ac:dyDescent="0.2">
      <c r="A52" s="283" t="s">
        <v>165</v>
      </c>
      <c r="B52" s="284">
        <f>(B12*1000000000)/B19</f>
        <v>6953000.0000000009</v>
      </c>
    </row>
    <row r="53" spans="1:4" ht="15" x14ac:dyDescent="0.2">
      <c r="A53" s="283" t="s">
        <v>166</v>
      </c>
      <c r="B53" s="284">
        <f>(B13*1000000000)/B20</f>
        <v>30527.654223860045</v>
      </c>
    </row>
    <row r="54" spans="1:4" ht="15" x14ac:dyDescent="0.2">
      <c r="A54" s="283" t="s">
        <v>167</v>
      </c>
      <c r="B54" s="284">
        <f>B14*1000000000/(B21*B20)</f>
        <v>1760.386960000001</v>
      </c>
    </row>
    <row r="55" spans="1:4" ht="12.75" hidden="1" customHeight="1" x14ac:dyDescent="0.2">
      <c r="A55" s="285" t="s">
        <v>168</v>
      </c>
    </row>
    <row r="56" spans="1:4" ht="12.75" hidden="1" customHeight="1" x14ac:dyDescent="0.2"/>
    <row r="57" spans="1:4" x14ac:dyDescent="0.2">
      <c r="A57" s="286" t="s">
        <v>169</v>
      </c>
      <c r="B57" s="287"/>
    </row>
    <row r="58" spans="1:4" x14ac:dyDescent="0.2">
      <c r="C58" s="288"/>
    </row>
    <row r="60" spans="1:4" x14ac:dyDescent="0.2">
      <c r="D60" s="1"/>
    </row>
    <row r="61" spans="1:4" x14ac:dyDescent="0.2">
      <c r="A61" s="1"/>
      <c r="B61" s="1"/>
      <c r="C61" s="1"/>
    </row>
    <row r="67" spans="4:8" x14ac:dyDescent="0.2">
      <c r="D67" s="289"/>
      <c r="H67" s="290"/>
    </row>
  </sheetData>
  <mergeCells count="2">
    <mergeCell ref="A7:B7"/>
    <mergeCell ref="A15:B15"/>
  </mergeCells>
  <printOptions horizontalCentered="1" verticalCentered="1"/>
  <pageMargins left="0.23622047244094491" right="0.19685039370078741" top="0.19685039370078741" bottom="0.19685039370078741" header="0" footer="0"/>
  <pageSetup paperSize="9" scale="63" orientation="landscape" r:id="rId1"/>
  <headerFooter alignWithMargins="0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FBD93A-6F3C-4198-A07E-205B8838FE0A}">
  <sheetPr>
    <tabColor rgb="FFFF0000"/>
    <pageSetUpPr fitToPage="1"/>
  </sheetPr>
  <dimension ref="C2:AE103"/>
  <sheetViews>
    <sheetView view="pageBreakPreview" zoomScaleNormal="70" zoomScaleSheetLayoutView="100" workbookViewId="0"/>
  </sheetViews>
  <sheetFormatPr baseColWidth="10" defaultColWidth="11.42578125" defaultRowHeight="12.75" outlineLevelRow="1" outlineLevelCol="1" x14ac:dyDescent="0.2"/>
  <cols>
    <col min="1" max="1" width="5.7109375" style="1" customWidth="1"/>
    <col min="2" max="2" width="2.85546875" style="1" customWidth="1"/>
    <col min="3" max="3" width="26.85546875" style="1" customWidth="1"/>
    <col min="4" max="4" width="17.42578125" style="1" bestFit="1" customWidth="1"/>
    <col min="5" max="5" width="17.7109375" style="1" customWidth="1"/>
    <col min="6" max="6" width="16.7109375" style="1" bestFit="1" customWidth="1"/>
    <col min="7" max="7" width="13.7109375" style="2" customWidth="1"/>
    <col min="8" max="8" width="27.85546875" style="1" hidden="1" customWidth="1" outlineLevel="1"/>
    <col min="9" max="9" width="18.5703125" style="1" hidden="1" customWidth="1" outlineLevel="1"/>
    <col min="10" max="10" width="21.28515625" style="3" bestFit="1" customWidth="1" collapsed="1"/>
    <col min="11" max="11" width="7.5703125" style="1" bestFit="1" customWidth="1"/>
    <col min="12" max="12" width="10.140625" style="1" customWidth="1"/>
    <col min="13" max="13" width="6.7109375" style="1" customWidth="1"/>
    <col min="14" max="14" width="18.28515625" style="1" hidden="1" customWidth="1"/>
    <col min="15" max="15" width="15.28515625" style="1" hidden="1" customWidth="1"/>
    <col min="16" max="16" width="13.85546875" style="1" hidden="1" customWidth="1"/>
    <col min="17" max="17" width="19" style="1" hidden="1" customWidth="1"/>
    <col min="18" max="18" width="5.7109375" style="1" hidden="1" customWidth="1"/>
    <col min="19" max="19" width="18.5703125" style="1" hidden="1" customWidth="1"/>
    <col min="20" max="20" width="13.85546875" style="1" hidden="1" customWidth="1"/>
    <col min="21" max="21" width="13.28515625" style="1" hidden="1" customWidth="1"/>
    <col min="22" max="22" width="10.7109375" style="1" hidden="1" customWidth="1"/>
    <col min="23" max="23" width="17.5703125" style="1" hidden="1" customWidth="1"/>
    <col min="24" max="24" width="16.42578125" style="1" hidden="1" customWidth="1"/>
    <col min="25" max="25" width="11.7109375" style="1" hidden="1" customWidth="1"/>
    <col min="26" max="26" width="12.7109375" style="1" hidden="1" customWidth="1"/>
    <col min="27" max="27" width="11.42578125" style="1" hidden="1" customWidth="1"/>
    <col min="28" max="28" width="20.42578125" style="1" hidden="1" customWidth="1"/>
    <col min="29" max="29" width="18.85546875" style="5" customWidth="1"/>
    <col min="30" max="30" width="18.85546875" style="1" bestFit="1" customWidth="1"/>
    <col min="31" max="31" width="19" style="1" bestFit="1" customWidth="1"/>
    <col min="32" max="16384" width="11.42578125" style="1"/>
  </cols>
  <sheetData>
    <row r="2" spans="3:31" x14ac:dyDescent="0.2">
      <c r="N2" s="4"/>
    </row>
    <row r="3" spans="3:31" ht="15" x14ac:dyDescent="0.2">
      <c r="C3" s="6" t="s">
        <v>0</v>
      </c>
    </row>
    <row r="4" spans="3:31" ht="15" x14ac:dyDescent="0.2">
      <c r="C4" s="6" t="s">
        <v>1</v>
      </c>
    </row>
    <row r="5" spans="3:31" ht="17.25" x14ac:dyDescent="0.2">
      <c r="C5" s="6" t="s">
        <v>2</v>
      </c>
      <c r="H5" s="3"/>
      <c r="S5" s="7"/>
    </row>
    <row r="6" spans="3:31" x14ac:dyDescent="0.2">
      <c r="C6" s="8" t="s">
        <v>3</v>
      </c>
      <c r="I6" s="3"/>
    </row>
    <row r="7" spans="3:31" ht="15" x14ac:dyDescent="0.2">
      <c r="C7" s="9" t="s">
        <v>4</v>
      </c>
      <c r="D7" s="10">
        <v>45688</v>
      </c>
      <c r="AC7" s="11"/>
    </row>
    <row r="8" spans="3:31" ht="9.75" customHeight="1" x14ac:dyDescent="0.2">
      <c r="C8" s="12"/>
      <c r="D8" s="13"/>
      <c r="AC8" s="11"/>
    </row>
    <row r="9" spans="3:31" x14ac:dyDescent="0.2">
      <c r="C9" s="14" t="s">
        <v>5</v>
      </c>
      <c r="AC9" s="11"/>
    </row>
    <row r="10" spans="3:31" ht="0.75" customHeight="1" thickBot="1" x14ac:dyDescent="0.25">
      <c r="C10" s="15"/>
      <c r="AC10" s="11"/>
    </row>
    <row r="11" spans="3:31" ht="38.25" x14ac:dyDescent="0.2">
      <c r="C11" s="16" t="s">
        <v>6</v>
      </c>
      <c r="D11" s="17" t="s">
        <v>7</v>
      </c>
      <c r="E11" s="17" t="s">
        <v>8</v>
      </c>
      <c r="F11" s="17" t="s">
        <v>9</v>
      </c>
      <c r="G11" s="16" t="s">
        <v>10</v>
      </c>
      <c r="H11" s="17" t="s">
        <v>11</v>
      </c>
      <c r="I11" s="17" t="s">
        <v>12</v>
      </c>
      <c r="J11" s="18" t="s">
        <v>13</v>
      </c>
      <c r="K11" s="17" t="s">
        <v>14</v>
      </c>
      <c r="L11" s="16" t="s">
        <v>15</v>
      </c>
      <c r="M11" s="16" t="s">
        <v>16</v>
      </c>
      <c r="N11" s="19" t="s">
        <v>17</v>
      </c>
      <c r="O11" s="20" t="s">
        <v>18</v>
      </c>
      <c r="P11" s="19" t="s">
        <v>19</v>
      </c>
      <c r="Q11" s="19" t="s">
        <v>20</v>
      </c>
      <c r="R11" s="20" t="s">
        <v>21</v>
      </c>
      <c r="S11" s="19" t="s">
        <v>22</v>
      </c>
      <c r="T11" s="19" t="s">
        <v>23</v>
      </c>
      <c r="W11" s="21" t="s">
        <v>24</v>
      </c>
      <c r="X11" s="22">
        <f>SUMIF(R14:R84,"FIJO",S14:S84)</f>
        <v>4410138.5211593928</v>
      </c>
      <c r="Y11" s="23">
        <v>0.40370034710800795</v>
      </c>
      <c r="AC11" s="11"/>
    </row>
    <row r="12" spans="3:31" ht="13.5" thickBot="1" x14ac:dyDescent="0.25">
      <c r="C12" s="24" t="s">
        <v>25</v>
      </c>
      <c r="D12" s="25"/>
      <c r="E12" s="26"/>
      <c r="F12" s="27"/>
      <c r="G12" s="28"/>
      <c r="H12" s="29"/>
      <c r="I12" s="29"/>
      <c r="J12" s="29"/>
      <c r="K12" s="30"/>
      <c r="L12" s="31"/>
      <c r="M12" s="31"/>
      <c r="N12" s="32"/>
      <c r="O12" s="32"/>
      <c r="P12" s="32"/>
      <c r="Q12" s="33"/>
      <c r="R12" s="34"/>
      <c r="S12" s="34"/>
      <c r="T12" s="32"/>
      <c r="W12" s="35" t="s">
        <v>26</v>
      </c>
      <c r="X12" s="36">
        <f>+S86-X11</f>
        <v>6425041.5147346305</v>
      </c>
      <c r="Y12" s="23">
        <v>0.59629965289199205</v>
      </c>
    </row>
    <row r="13" spans="3:31" ht="15" thickBot="1" x14ac:dyDescent="0.25">
      <c r="C13" s="37" t="s">
        <v>27</v>
      </c>
      <c r="D13" s="38"/>
      <c r="E13" s="39"/>
      <c r="F13" s="40"/>
      <c r="G13" s="41"/>
      <c r="H13" s="42"/>
      <c r="I13" s="42"/>
      <c r="J13" s="42"/>
      <c r="K13" s="43"/>
      <c r="L13" s="43"/>
      <c r="M13" s="43"/>
      <c r="N13" s="44"/>
      <c r="O13" s="44"/>
      <c r="P13" s="44"/>
      <c r="Q13" s="45"/>
      <c r="R13" s="46"/>
      <c r="S13" s="46"/>
      <c r="T13" s="44"/>
      <c r="W13" s="47" t="s">
        <v>28</v>
      </c>
      <c r="X13" s="48">
        <f>X11+X12</f>
        <v>10835180.035894023</v>
      </c>
    </row>
    <row r="14" spans="3:31" ht="14.25" x14ac:dyDescent="0.2">
      <c r="C14" s="49" t="s">
        <v>29</v>
      </c>
      <c r="D14" s="38" t="s">
        <v>30</v>
      </c>
      <c r="E14" s="50" t="s">
        <v>31</v>
      </c>
      <c r="F14" s="51">
        <v>103000</v>
      </c>
      <c r="G14" s="41">
        <v>48915</v>
      </c>
      <c r="H14" s="42"/>
      <c r="I14" s="42"/>
      <c r="J14" s="52">
        <f>IF(OR(D14="COP",D14="UVR"),F14,F14*$D$87/1000)</f>
        <v>103000</v>
      </c>
      <c r="K14" s="43">
        <v>8.8410958904109584</v>
      </c>
      <c r="L14" s="43">
        <v>8.2191780821917804E-2</v>
      </c>
      <c r="M14" s="43">
        <v>8.0343556062022148E-2</v>
      </c>
      <c r="N14" s="53">
        <f t="shared" ref="N14:N25" si="0">J14/($J$26)</f>
        <v>2.4980575518596476E-2</v>
      </c>
      <c r="O14" s="53">
        <f t="shared" ref="O14:O25" si="1">J14/($J$86)</f>
        <v>9.5060718565624976E-3</v>
      </c>
      <c r="P14" s="53">
        <f t="shared" ref="P14:P25" si="2">(J14)/($J$65)</f>
        <v>9.6263484491684991E-3</v>
      </c>
      <c r="Q14" s="54" t="s">
        <v>32</v>
      </c>
      <c r="R14" s="46" t="s">
        <v>33</v>
      </c>
      <c r="S14" s="55">
        <f t="shared" ref="S14:S25" si="3">+J14</f>
        <v>103000</v>
      </c>
      <c r="T14" s="53">
        <f>S14/$X$12</f>
        <v>1.6031024821207579E-2</v>
      </c>
      <c r="U14" s="1" t="e">
        <v>#REF!</v>
      </c>
      <c r="V14" s="3" t="e">
        <f t="shared" ref="V14:V25" si="4">+J14-U14</f>
        <v>#REF!</v>
      </c>
      <c r="W14" s="56"/>
      <c r="X14" s="57"/>
      <c r="AA14" s="58">
        <v>-0.33698630136986374</v>
      </c>
      <c r="AB14" s="58"/>
      <c r="AC14" s="58"/>
      <c r="AE14" s="59"/>
    </row>
    <row r="15" spans="3:31" ht="14.25" x14ac:dyDescent="0.2">
      <c r="C15" s="49" t="s">
        <v>34</v>
      </c>
      <c r="D15" s="38" t="s">
        <v>35</v>
      </c>
      <c r="E15" s="50">
        <v>4.53E-2</v>
      </c>
      <c r="F15" s="60">
        <v>205900</v>
      </c>
      <c r="G15" s="41">
        <v>51837</v>
      </c>
      <c r="H15" s="42"/>
      <c r="I15" s="42"/>
      <c r="J15" s="52">
        <f>IF(D15="COP",F15,F15*1000*$D$89)/1000000</f>
        <v>77863.741110000003</v>
      </c>
      <c r="K15" s="43">
        <v>16.846575342465755</v>
      </c>
      <c r="L15" s="43">
        <v>12.051715420902301</v>
      </c>
      <c r="M15" s="43">
        <v>11.529432144745339</v>
      </c>
      <c r="N15" s="53">
        <f t="shared" si="0"/>
        <v>1.8884282184066018E-2</v>
      </c>
      <c r="O15" s="53">
        <f t="shared" si="1"/>
        <v>7.186197262256693E-3</v>
      </c>
      <c r="P15" s="53">
        <f t="shared" si="2"/>
        <v>7.2771213930165638E-3</v>
      </c>
      <c r="Q15" s="54" t="s">
        <v>32</v>
      </c>
      <c r="R15" s="46" t="s">
        <v>36</v>
      </c>
      <c r="S15" s="55">
        <f t="shared" si="3"/>
        <v>77863.741110000003</v>
      </c>
      <c r="T15" s="53">
        <f>S15/$X$11</f>
        <v>1.7655622547096367E-2</v>
      </c>
      <c r="U15" s="1" t="e">
        <v>#REF!</v>
      </c>
      <c r="V15" s="3" t="e">
        <f t="shared" si="4"/>
        <v>#REF!</v>
      </c>
      <c r="W15" s="56"/>
      <c r="X15" s="57"/>
      <c r="AA15" s="58">
        <v>-0.33698630136986196</v>
      </c>
      <c r="AB15" s="58"/>
      <c r="AC15" s="58"/>
      <c r="AE15" s="59"/>
    </row>
    <row r="16" spans="3:31" ht="14.25" x14ac:dyDescent="0.2">
      <c r="C16" s="49" t="s">
        <v>37</v>
      </c>
      <c r="D16" s="38" t="s">
        <v>30</v>
      </c>
      <c r="E16" s="50" t="s">
        <v>38</v>
      </c>
      <c r="F16" s="51">
        <v>240550</v>
      </c>
      <c r="G16" s="41">
        <v>45713</v>
      </c>
      <c r="H16" s="42"/>
      <c r="I16" s="42"/>
      <c r="J16" s="52">
        <f>IF(OR(D16="COP",D16="UVR"),F16,F16*$D$87/1000)</f>
        <v>240550</v>
      </c>
      <c r="K16" s="43">
        <v>6.8493150684931503E-2</v>
      </c>
      <c r="L16" s="43">
        <v>6.8493150684931503E-2</v>
      </c>
      <c r="M16" s="43">
        <v>6.7413447090595449E-2</v>
      </c>
      <c r="N16" s="53">
        <f t="shared" si="0"/>
        <v>5.8340557679595943E-2</v>
      </c>
      <c r="O16" s="53">
        <f t="shared" si="1"/>
        <v>2.2200830923263189E-2</v>
      </c>
      <c r="P16" s="53">
        <f t="shared" si="2"/>
        <v>2.2481729315024103E-2</v>
      </c>
      <c r="Q16" s="54" t="s">
        <v>32</v>
      </c>
      <c r="R16" s="46" t="s">
        <v>33</v>
      </c>
      <c r="S16" s="55">
        <f t="shared" si="3"/>
        <v>240550</v>
      </c>
      <c r="T16" s="53">
        <f>S16/$X$12</f>
        <v>3.7439446803315367E-2</v>
      </c>
      <c r="U16" s="1" t="e">
        <v>#REF!</v>
      </c>
      <c r="V16" s="3" t="e">
        <f t="shared" si="4"/>
        <v>#REF!</v>
      </c>
      <c r="W16" s="56"/>
      <c r="X16" s="57"/>
      <c r="AA16" s="58">
        <v>-0.33698630136986296</v>
      </c>
      <c r="AB16" s="58"/>
      <c r="AC16" s="58"/>
      <c r="AE16" s="59"/>
    </row>
    <row r="17" spans="3:31" ht="14.25" x14ac:dyDescent="0.2">
      <c r="C17" s="49" t="s">
        <v>39</v>
      </c>
      <c r="D17" s="38" t="s">
        <v>30</v>
      </c>
      <c r="E17" s="50" t="s">
        <v>40</v>
      </c>
      <c r="F17" s="51">
        <v>59160</v>
      </c>
      <c r="G17" s="41">
        <v>47904</v>
      </c>
      <c r="H17" s="42"/>
      <c r="I17" s="42"/>
      <c r="J17" s="52">
        <f>IF(OR(D17="COP",D17="UVR"),F17,F17*$D$87/1000)</f>
        <v>59160</v>
      </c>
      <c r="K17" s="43">
        <v>6.0712328767123278</v>
      </c>
      <c r="L17" s="43">
        <v>6.8493150684931503E-2</v>
      </c>
      <c r="M17" s="43">
        <v>6.7180624483957965E-2</v>
      </c>
      <c r="N17" s="53">
        <f t="shared" si="0"/>
        <v>1.4348066482331723E-2</v>
      </c>
      <c r="O17" s="53">
        <f t="shared" si="1"/>
        <v>5.4599923401382261E-3</v>
      </c>
      <c r="P17" s="53">
        <f t="shared" si="2"/>
        <v>5.529075478182606E-3</v>
      </c>
      <c r="Q17" s="54" t="s">
        <v>32</v>
      </c>
      <c r="R17" s="46" t="s">
        <v>33</v>
      </c>
      <c r="S17" s="55">
        <f t="shared" si="3"/>
        <v>59160</v>
      </c>
      <c r="T17" s="53">
        <f>S17/$X$12</f>
        <v>9.2077226060450525E-3</v>
      </c>
      <c r="U17" s="1" t="e">
        <v>#REF!</v>
      </c>
      <c r="V17" s="3" t="e">
        <f t="shared" si="4"/>
        <v>#REF!</v>
      </c>
      <c r="W17" s="56"/>
      <c r="X17" s="57"/>
      <c r="AA17" s="58">
        <v>-0.33698630136986374</v>
      </c>
      <c r="AB17" s="58"/>
      <c r="AC17" s="58"/>
      <c r="AE17" s="59"/>
    </row>
    <row r="18" spans="3:31" ht="14.25" x14ac:dyDescent="0.2">
      <c r="C18" s="49" t="s">
        <v>41</v>
      </c>
      <c r="D18" s="38" t="s">
        <v>35</v>
      </c>
      <c r="E18" s="50">
        <v>3.3000000000000002E-2</v>
      </c>
      <c r="F18" s="60">
        <v>787670</v>
      </c>
      <c r="G18" s="41">
        <v>49730</v>
      </c>
      <c r="H18" s="42"/>
      <c r="I18" s="42"/>
      <c r="J18" s="52">
        <f>IF(D18="COP",F18,F18*1000*$D$89)/1000000</f>
        <v>297867.57144299999</v>
      </c>
      <c r="K18" s="43">
        <v>11.073972602739728</v>
      </c>
      <c r="L18" s="43">
        <v>9.1735642631694496</v>
      </c>
      <c r="M18" s="43">
        <v>8.8805075151688779</v>
      </c>
      <c r="N18" s="53">
        <f t="shared" si="0"/>
        <v>7.2241780223036817E-2</v>
      </c>
      <c r="O18" s="53">
        <f t="shared" si="1"/>
        <v>2.7490781921135157E-2</v>
      </c>
      <c r="P18" s="53">
        <f t="shared" si="2"/>
        <v>2.7838611984639904E-2</v>
      </c>
      <c r="Q18" s="54" t="s">
        <v>32</v>
      </c>
      <c r="R18" s="46" t="s">
        <v>36</v>
      </c>
      <c r="S18" s="55">
        <f t="shared" si="3"/>
        <v>297867.57144299999</v>
      </c>
      <c r="T18" s="53">
        <f>S18/$X$11</f>
        <v>6.7541545467078162E-2</v>
      </c>
      <c r="U18" s="1" t="e">
        <v>#REF!</v>
      </c>
      <c r="V18" s="3" t="e">
        <f t="shared" si="4"/>
        <v>#REF!</v>
      </c>
      <c r="W18" s="56"/>
      <c r="X18" s="57"/>
      <c r="AA18" s="58">
        <v>-0.33698630136986374</v>
      </c>
      <c r="AB18" s="58"/>
      <c r="AC18" s="58"/>
      <c r="AE18" s="59"/>
    </row>
    <row r="19" spans="3:31" ht="14.25" x14ac:dyDescent="0.2">
      <c r="C19" s="49" t="s">
        <v>42</v>
      </c>
      <c r="D19" s="38" t="s">
        <v>35</v>
      </c>
      <c r="E19" s="50">
        <v>3.85E-2</v>
      </c>
      <c r="F19" s="60">
        <v>1590530</v>
      </c>
      <c r="G19" s="41">
        <v>53383</v>
      </c>
      <c r="H19" s="42"/>
      <c r="I19" s="42"/>
      <c r="J19" s="52">
        <f>IF(D19="COP",F19,F19*1000*D89)/1000000</f>
        <v>601479.43733700004</v>
      </c>
      <c r="K19" s="61">
        <v>21.082191780821919</v>
      </c>
      <c r="L19" s="43">
        <v>14.300866537918397</v>
      </c>
      <c r="M19" s="43">
        <v>13.770694788558881</v>
      </c>
      <c r="N19" s="53">
        <f t="shared" si="0"/>
        <v>0.14587672337164898</v>
      </c>
      <c r="O19" s="53">
        <f t="shared" si="1"/>
        <v>5.5511716034663129E-2</v>
      </c>
      <c r="P19" s="53">
        <f t="shared" si="2"/>
        <v>5.6214083969085164E-2</v>
      </c>
      <c r="Q19" s="54" t="s">
        <v>32</v>
      </c>
      <c r="R19" s="46" t="s">
        <v>36</v>
      </c>
      <c r="S19" s="55">
        <f t="shared" si="3"/>
        <v>601479.43733700004</v>
      </c>
      <c r="T19" s="53">
        <f>S19/$X$12</f>
        <v>9.3614871741703062E-2</v>
      </c>
      <c r="U19" s="1" t="e">
        <v>#REF!</v>
      </c>
      <c r="V19" s="3" t="e">
        <f t="shared" si="4"/>
        <v>#REF!</v>
      </c>
      <c r="W19" s="56"/>
      <c r="X19" s="57"/>
      <c r="AA19" s="58">
        <v>-0.33698630136986552</v>
      </c>
      <c r="AB19" s="58"/>
      <c r="AC19" s="58"/>
      <c r="AE19" s="59"/>
    </row>
    <row r="20" spans="3:31" ht="14.25" x14ac:dyDescent="0.2">
      <c r="C20" s="49" t="s">
        <v>43</v>
      </c>
      <c r="D20" s="38" t="s">
        <v>30</v>
      </c>
      <c r="E20" s="50" t="s">
        <v>44</v>
      </c>
      <c r="F20" s="51">
        <v>212550</v>
      </c>
      <c r="G20" s="41">
        <v>47624</v>
      </c>
      <c r="H20" s="42"/>
      <c r="I20" s="42"/>
      <c r="J20" s="52">
        <f>IF(OR(D20="COP",D20="UVR"),F20,F20*$D$87/1000)</f>
        <v>212550</v>
      </c>
      <c r="K20" s="43">
        <v>5.3041095890410963</v>
      </c>
      <c r="L20" s="43">
        <v>5.7534246575342465E-2</v>
      </c>
      <c r="M20" s="43">
        <v>5.6294063309265924E-2</v>
      </c>
      <c r="N20" s="53">
        <f t="shared" si="0"/>
        <v>5.1549721616288159E-2</v>
      </c>
      <c r="O20" s="53">
        <f t="shared" si="1"/>
        <v>1.961665604963455E-2</v>
      </c>
      <c r="P20" s="53">
        <f t="shared" si="2"/>
        <v>1.986485789194917E-2</v>
      </c>
      <c r="Q20" s="54" t="s">
        <v>32</v>
      </c>
      <c r="R20" s="46" t="s">
        <v>33</v>
      </c>
      <c r="S20" s="55">
        <f t="shared" si="3"/>
        <v>212550</v>
      </c>
      <c r="T20" s="53">
        <f>S20/$X$11</f>
        <v>4.819576504914911E-2</v>
      </c>
      <c r="U20" s="1" t="e">
        <v>#REF!</v>
      </c>
      <c r="V20" s="3" t="e">
        <f t="shared" si="4"/>
        <v>#REF!</v>
      </c>
      <c r="W20" s="56"/>
      <c r="X20" s="57"/>
      <c r="AA20" s="58">
        <v>-0.33698630136986196</v>
      </c>
      <c r="AB20" s="58"/>
      <c r="AC20" s="58"/>
      <c r="AE20" s="59"/>
    </row>
    <row r="21" spans="3:31" ht="14.25" x14ac:dyDescent="0.2">
      <c r="C21" s="49" t="s">
        <v>45</v>
      </c>
      <c r="D21" s="38" t="s">
        <v>35</v>
      </c>
      <c r="E21" s="50">
        <v>3.9300000000000002E-2</v>
      </c>
      <c r="F21" s="60">
        <v>1402880</v>
      </c>
      <c r="G21" s="41">
        <v>51277</v>
      </c>
      <c r="H21" s="42"/>
      <c r="I21" s="42"/>
      <c r="J21" s="52">
        <f>F21*$D$89/1000</f>
        <v>530517.16915199999</v>
      </c>
      <c r="K21" s="43">
        <v>15.312328767123288</v>
      </c>
      <c r="L21" s="43">
        <v>11.481446125842995</v>
      </c>
      <c r="M21" s="43">
        <v>11.047287718505721</v>
      </c>
      <c r="N21" s="53">
        <f t="shared" si="0"/>
        <v>0.12866625444576268</v>
      </c>
      <c r="O21" s="53">
        <f t="shared" si="1"/>
        <v>4.8962469233971191E-2</v>
      </c>
      <c r="P21" s="53">
        <f t="shared" si="2"/>
        <v>4.9581972121588519E-2</v>
      </c>
      <c r="Q21" s="54" t="s">
        <v>32</v>
      </c>
      <c r="R21" s="46" t="s">
        <v>36</v>
      </c>
      <c r="S21" s="55">
        <f t="shared" si="3"/>
        <v>530517.16915199999</v>
      </c>
      <c r="T21" s="53">
        <f>S21/$X$11</f>
        <v>0.12029489926600559</v>
      </c>
      <c r="U21" s="1" t="e">
        <v>#REF!</v>
      </c>
      <c r="V21" s="3" t="e">
        <f t="shared" si="4"/>
        <v>#REF!</v>
      </c>
      <c r="W21" s="56"/>
      <c r="X21" s="57"/>
      <c r="AA21" s="58">
        <v>-0.33698630136986196</v>
      </c>
      <c r="AB21" s="58"/>
      <c r="AC21" s="58"/>
      <c r="AE21" s="59"/>
    </row>
    <row r="22" spans="3:31" x14ac:dyDescent="0.2">
      <c r="C22" s="49" t="s">
        <v>46</v>
      </c>
      <c r="D22" s="38" t="s">
        <v>30</v>
      </c>
      <c r="E22" s="50" t="s">
        <v>47</v>
      </c>
      <c r="F22" s="51">
        <v>300000</v>
      </c>
      <c r="G22" s="41">
        <v>47415</v>
      </c>
      <c r="H22" s="42"/>
      <c r="I22" s="42"/>
      <c r="J22" s="52">
        <f>IF(OR(D22="COP",D22="UVR"),F22,F22*$D$87/1000)</f>
        <v>300000</v>
      </c>
      <c r="K22" s="43">
        <v>4.7315068493150685</v>
      </c>
      <c r="L22" s="43">
        <v>0.22739726027397261</v>
      </c>
      <c r="M22" s="43">
        <v>0.22305394075407423</v>
      </c>
      <c r="N22" s="53">
        <f t="shared" si="0"/>
        <v>7.2758957821154782E-2</v>
      </c>
      <c r="O22" s="53">
        <f t="shared" si="1"/>
        <v>2.7687587931735428E-2</v>
      </c>
      <c r="P22" s="53">
        <f t="shared" si="2"/>
        <v>2.803790810437427E-2</v>
      </c>
      <c r="Q22" s="54" t="s">
        <v>32</v>
      </c>
      <c r="R22" s="46" t="s">
        <v>33</v>
      </c>
      <c r="S22" s="55">
        <f t="shared" si="3"/>
        <v>300000</v>
      </c>
      <c r="T22" s="44">
        <f>S22/$X$12</f>
        <v>4.6692305304488091E-2</v>
      </c>
      <c r="U22" s="1" t="e">
        <v>#REF!</v>
      </c>
      <c r="V22" s="3" t="e">
        <f t="shared" si="4"/>
        <v>#REF!</v>
      </c>
      <c r="W22" s="35"/>
      <c r="X22" s="62"/>
      <c r="AA22" s="58">
        <v>-0.33698630136986285</v>
      </c>
      <c r="AB22" s="58"/>
      <c r="AC22" s="58"/>
      <c r="AE22" s="59"/>
    </row>
    <row r="23" spans="3:31" x14ac:dyDescent="0.2">
      <c r="C23" s="49" t="s">
        <v>48</v>
      </c>
      <c r="D23" s="38" t="s">
        <v>35</v>
      </c>
      <c r="E23" s="50">
        <v>3.3300000000000003E-2</v>
      </c>
      <c r="F23" s="60">
        <v>1483010</v>
      </c>
      <c r="G23" s="41">
        <v>51067</v>
      </c>
      <c r="H23" s="42"/>
      <c r="I23" s="42"/>
      <c r="J23" s="51">
        <v>560819.36232899991</v>
      </c>
      <c r="K23" s="43">
        <v>14.736986301369862</v>
      </c>
      <c r="L23" s="43">
        <v>11.781047418690148</v>
      </c>
      <c r="M23" s="43">
        <v>11.401381417487803</v>
      </c>
      <c r="N23" s="53">
        <f t="shared" si="0"/>
        <v>0.13601544109660876</v>
      </c>
      <c r="O23" s="53">
        <f t="shared" si="1"/>
        <v>5.1759118027679921E-2</v>
      </c>
      <c r="P23" s="53">
        <f t="shared" si="2"/>
        <v>5.2414005813780924E-2</v>
      </c>
      <c r="Q23" s="54" t="s">
        <v>32</v>
      </c>
      <c r="R23" s="46" t="s">
        <v>36</v>
      </c>
      <c r="S23" s="55">
        <f t="shared" si="3"/>
        <v>560819.36232899991</v>
      </c>
      <c r="T23" s="44">
        <f>S23/$X$11</f>
        <v>0.12716592906056035</v>
      </c>
      <c r="U23" s="1" t="e">
        <v>#REF!</v>
      </c>
      <c r="V23" s="3" t="e">
        <f t="shared" si="4"/>
        <v>#REF!</v>
      </c>
      <c r="W23" s="35"/>
      <c r="X23" s="62"/>
      <c r="AA23" s="58">
        <v>-0.33698630136986374</v>
      </c>
      <c r="AB23" s="58"/>
      <c r="AC23" s="58"/>
      <c r="AE23" s="59"/>
    </row>
    <row r="24" spans="3:31" x14ac:dyDescent="0.2">
      <c r="C24" s="49" t="s">
        <v>49</v>
      </c>
      <c r="D24" s="38" t="s">
        <v>35</v>
      </c>
      <c r="E24" s="50">
        <v>3.49E-2</v>
      </c>
      <c r="F24" s="60">
        <v>1483010</v>
      </c>
      <c r="G24" s="41">
        <v>54355</v>
      </c>
      <c r="H24" s="42"/>
      <c r="I24" s="42"/>
      <c r="J24" s="51">
        <v>560819.36232899991</v>
      </c>
      <c r="K24" s="43">
        <v>23.745205479452054</v>
      </c>
      <c r="L24" s="43">
        <v>16.367010246988308</v>
      </c>
      <c r="M24" s="43">
        <v>15.815064496075282</v>
      </c>
      <c r="N24" s="53">
        <f t="shared" si="0"/>
        <v>0.13601544109660876</v>
      </c>
      <c r="O24" s="53">
        <f t="shared" si="1"/>
        <v>5.1759118027679921E-2</v>
      </c>
      <c r="P24" s="53">
        <f t="shared" si="2"/>
        <v>5.2414005813780924E-2</v>
      </c>
      <c r="Q24" s="54" t="s">
        <v>32</v>
      </c>
      <c r="R24" s="46" t="s">
        <v>36</v>
      </c>
      <c r="S24" s="55">
        <f t="shared" si="3"/>
        <v>560819.36232899991</v>
      </c>
      <c r="T24" s="44">
        <f>S24/$X$11</f>
        <v>0.12716592906056035</v>
      </c>
      <c r="U24" s="1" t="e">
        <v>#REF!</v>
      </c>
      <c r="V24" s="3" t="e">
        <f t="shared" si="4"/>
        <v>#REF!</v>
      </c>
      <c r="W24" s="35"/>
      <c r="X24" s="62"/>
      <c r="AA24" s="58">
        <v>-0.33698630136985841</v>
      </c>
      <c r="AB24" s="58"/>
      <c r="AC24" s="58"/>
      <c r="AE24" s="59"/>
    </row>
    <row r="25" spans="3:31" ht="13.5" thickBot="1" x14ac:dyDescent="0.25">
      <c r="C25" s="49" t="s">
        <v>50</v>
      </c>
      <c r="D25" s="38" t="s">
        <v>30</v>
      </c>
      <c r="E25" s="39">
        <v>9.7500000000000003E-2</v>
      </c>
      <c r="F25" s="63">
        <v>578577</v>
      </c>
      <c r="G25" s="41">
        <v>46960</v>
      </c>
      <c r="H25" s="42">
        <v>0</v>
      </c>
      <c r="I25" s="42">
        <f>IF(D25="COP",H25,H25*$D$87/1000)</f>
        <v>0</v>
      </c>
      <c r="J25" s="64">
        <f>IF(OR(D25="COP",D25="UVR"),F25,F25*$D$87/1000)</f>
        <v>578577</v>
      </c>
      <c r="K25" s="43">
        <v>2.4831050228310501</v>
      </c>
      <c r="L25" s="43">
        <v>2.1996713332917985</v>
      </c>
      <c r="M25" s="43">
        <v>2.0042563401292015</v>
      </c>
      <c r="N25" s="53">
        <f t="shared" si="0"/>
        <v>0.14032219846430091</v>
      </c>
      <c r="O25" s="53">
        <f t="shared" si="1"/>
        <v>5.3398005209265631E-2</v>
      </c>
      <c r="P25" s="53">
        <f t="shared" si="2"/>
        <v>5.4073629191015174E-2</v>
      </c>
      <c r="Q25" s="54" t="s">
        <v>51</v>
      </c>
      <c r="R25" s="46" t="s">
        <v>36</v>
      </c>
      <c r="S25" s="55">
        <f t="shared" si="3"/>
        <v>578577</v>
      </c>
      <c r="T25" s="44">
        <f>S25/$X$11</f>
        <v>0.13119247779271487</v>
      </c>
      <c r="U25" s="1" t="e">
        <v>#REF!</v>
      </c>
      <c r="V25" s="3" t="e">
        <f t="shared" si="4"/>
        <v>#REF!</v>
      </c>
      <c r="W25" s="65" t="s">
        <v>52</v>
      </c>
      <c r="X25" s="66">
        <f>X12/X13</f>
        <v>0.59297967301421894</v>
      </c>
      <c r="AA25" s="58">
        <v>-0.33698630136986285</v>
      </c>
      <c r="AB25" s="58"/>
      <c r="AC25" s="58"/>
      <c r="AE25" s="59"/>
    </row>
    <row r="26" spans="3:31" ht="15" thickBot="1" x14ac:dyDescent="0.25">
      <c r="C26" s="67" t="s">
        <v>53</v>
      </c>
      <c r="D26" s="68"/>
      <c r="E26" s="69"/>
      <c r="F26" s="70"/>
      <c r="G26" s="71"/>
      <c r="H26" s="72">
        <f>SUM(H22:H25)</f>
        <v>0</v>
      </c>
      <c r="I26" s="72">
        <f>SUM(I22:I25)</f>
        <v>0</v>
      </c>
      <c r="J26" s="73">
        <f>SUM(J14:J25)</f>
        <v>4123203.6436999999</v>
      </c>
      <c r="K26" s="74">
        <f>SUMPRODUCT(K14:K25,$N$14:$N$25)</f>
        <v>12.675973995734076</v>
      </c>
      <c r="L26" s="74">
        <f>SUMPRODUCT(L14:L25,$N$14:$N$25)</f>
        <v>8.6175169584673519</v>
      </c>
      <c r="M26" s="74">
        <f>SUMPRODUCT(M14:M25,$N$14:$N$25)</f>
        <v>8.2986392349961484</v>
      </c>
      <c r="N26" s="75">
        <f>SUM(N14:N25)</f>
        <v>1.0000000000000002</v>
      </c>
      <c r="O26" s="75">
        <f>SUM(O14:O25)</f>
        <v>0.38053854481798549</v>
      </c>
      <c r="P26" s="75">
        <f>SUM(P14:P25)</f>
        <v>0.38535334952560579</v>
      </c>
      <c r="Q26" s="76"/>
      <c r="R26" s="77"/>
      <c r="S26" s="78">
        <f>+J26</f>
        <v>4123203.6436999999</v>
      </c>
      <c r="T26" s="79"/>
      <c r="V26" s="3"/>
      <c r="W26" s="47" t="s">
        <v>54</v>
      </c>
      <c r="X26" s="80" t="e">
        <f>+#REF!+X25</f>
        <v>#REF!</v>
      </c>
      <c r="AA26" s="58">
        <v>0.57363325075260896</v>
      </c>
      <c r="AB26" s="58"/>
      <c r="AC26" s="58"/>
      <c r="AE26" s="59"/>
    </row>
    <row r="27" spans="3:31" x14ac:dyDescent="0.2">
      <c r="C27" s="37" t="s">
        <v>55</v>
      </c>
      <c r="D27" s="38"/>
      <c r="E27" s="39"/>
      <c r="F27" s="81"/>
      <c r="G27" s="41"/>
      <c r="H27" s="42"/>
      <c r="I27" s="42"/>
      <c r="J27" s="81"/>
      <c r="K27" s="82"/>
      <c r="L27" s="82"/>
      <c r="M27" s="82"/>
      <c r="N27" s="83"/>
      <c r="O27" s="83"/>
      <c r="P27" s="83"/>
      <c r="Q27" s="54"/>
      <c r="R27" s="46"/>
      <c r="S27" s="46"/>
      <c r="T27" s="84"/>
      <c r="V27" s="3"/>
      <c r="AA27" s="58">
        <v>0</v>
      </c>
      <c r="AB27" s="58"/>
      <c r="AC27" s="58"/>
      <c r="AE27" s="59"/>
    </row>
    <row r="28" spans="3:31" ht="14.25" outlineLevel="1" x14ac:dyDescent="0.2">
      <c r="C28" s="49" t="s">
        <v>56</v>
      </c>
      <c r="D28" s="38" t="s">
        <v>30</v>
      </c>
      <c r="E28" s="50" t="s">
        <v>57</v>
      </c>
      <c r="F28" s="51">
        <v>3590.1208039999801</v>
      </c>
      <c r="G28" s="41">
        <v>46186</v>
      </c>
      <c r="H28" s="42">
        <v>0</v>
      </c>
      <c r="I28" s="42">
        <f>IF(D28="COP",H28,H28*$D$87/1000)</f>
        <v>0</v>
      </c>
      <c r="J28" s="52">
        <f>IF(D28="COP",F28,F28*$D$87/1000)</f>
        <v>3590.1208039999801</v>
      </c>
      <c r="K28" s="43">
        <v>0.73926940256051765</v>
      </c>
      <c r="L28" s="43">
        <v>0.11232876712328767</v>
      </c>
      <c r="M28" s="43">
        <v>0.10540257713039811</v>
      </c>
      <c r="N28" s="53">
        <f t="shared" ref="N28:N50" si="5">IFERROR(J28/$J$51,0%)</f>
        <v>7.5101575151113908E-4</v>
      </c>
      <c r="O28" s="53">
        <f t="shared" ref="O28:O48" si="6">J28/($J$86)</f>
        <v>3.3133928482100716E-4</v>
      </c>
      <c r="P28" s="53">
        <f t="shared" ref="P28:P50" si="7">(J28)/($J$65)</f>
        <v>3.3553159062051237E-4</v>
      </c>
      <c r="Q28" s="54" t="s">
        <v>32</v>
      </c>
      <c r="R28" s="46" t="s">
        <v>58</v>
      </c>
      <c r="S28" s="55">
        <f>+J28</f>
        <v>3590.1208039999801</v>
      </c>
      <c r="T28" s="44">
        <f>S28/$X$12</f>
        <v>5.5877005553453779E-4</v>
      </c>
      <c r="U28" s="1" t="e">
        <v>#REF!</v>
      </c>
      <c r="V28" s="3" t="e">
        <f t="shared" ref="V28:V83" si="8">+J28-U28</f>
        <v>#REF!</v>
      </c>
      <c r="AA28" s="58">
        <v>-0.21223091952879336</v>
      </c>
      <c r="AB28" s="58"/>
      <c r="AC28" s="58"/>
      <c r="AE28" s="59"/>
    </row>
    <row r="29" spans="3:31" ht="14.25" outlineLevel="1" x14ac:dyDescent="0.2">
      <c r="C29" s="49" t="s">
        <v>59</v>
      </c>
      <c r="D29" s="38" t="s">
        <v>30</v>
      </c>
      <c r="E29" s="50" t="s">
        <v>60</v>
      </c>
      <c r="F29" s="51">
        <v>186000</v>
      </c>
      <c r="G29" s="41">
        <v>49685</v>
      </c>
      <c r="H29" s="42">
        <v>0</v>
      </c>
      <c r="I29" s="42">
        <v>0</v>
      </c>
      <c r="J29" s="52">
        <f>F29</f>
        <v>186000</v>
      </c>
      <c r="K29" s="43">
        <v>6.571461187214612</v>
      </c>
      <c r="L29" s="43">
        <v>0.19178082191780821</v>
      </c>
      <c r="M29" s="43">
        <v>0.17015874960544439</v>
      </c>
      <c r="N29" s="53">
        <f t="shared" si="5"/>
        <v>3.8909256096740709E-2</v>
      </c>
      <c r="O29" s="53">
        <f t="shared" si="6"/>
        <v>1.7166304517675965E-2</v>
      </c>
      <c r="P29" s="53">
        <f t="shared" si="7"/>
        <v>1.7383503024712046E-2</v>
      </c>
      <c r="Q29" s="54" t="s">
        <v>32</v>
      </c>
      <c r="R29" s="46" t="s">
        <v>61</v>
      </c>
      <c r="S29" s="55">
        <f>+J29</f>
        <v>186000</v>
      </c>
      <c r="T29" s="44">
        <f>S29/$X$12</f>
        <v>2.8949229288782619E-2</v>
      </c>
      <c r="V29" s="3"/>
      <c r="AA29" s="58">
        <v>-0.33698630136986552</v>
      </c>
      <c r="AB29" s="58"/>
      <c r="AC29" s="58"/>
      <c r="AE29" s="59"/>
    </row>
    <row r="30" spans="3:31" ht="14.25" outlineLevel="1" x14ac:dyDescent="0.2">
      <c r="C30" s="49" t="s">
        <v>62</v>
      </c>
      <c r="D30" s="38" t="s">
        <v>30</v>
      </c>
      <c r="E30" s="50" t="s">
        <v>63</v>
      </c>
      <c r="F30" s="51">
        <v>135000</v>
      </c>
      <c r="G30" s="41">
        <v>49685</v>
      </c>
      <c r="H30" s="42">
        <v>0</v>
      </c>
      <c r="I30" s="42">
        <v>0</v>
      </c>
      <c r="J30" s="52">
        <f>F30</f>
        <v>135000</v>
      </c>
      <c r="K30" s="43">
        <v>6.5714611872146094</v>
      </c>
      <c r="L30" s="43">
        <v>0.19178082191780821</v>
      </c>
      <c r="M30" s="43">
        <v>0.16918304288028813</v>
      </c>
      <c r="N30" s="53">
        <f t="shared" si="5"/>
        <v>2.8240589102473092E-2</v>
      </c>
      <c r="O30" s="53">
        <f t="shared" si="6"/>
        <v>1.2459414569280942E-2</v>
      </c>
      <c r="P30" s="53">
        <f t="shared" si="7"/>
        <v>1.2617058646968422E-2</v>
      </c>
      <c r="Q30" s="54" t="s">
        <v>32</v>
      </c>
      <c r="R30" s="46" t="s">
        <v>61</v>
      </c>
      <c r="S30" s="55">
        <f>+J30</f>
        <v>135000</v>
      </c>
      <c r="T30" s="44">
        <f>S30/$X$12</f>
        <v>2.1011537387019642E-2</v>
      </c>
      <c r="V30" s="3"/>
      <c r="AA30" s="58">
        <v>-0.33698630136986196</v>
      </c>
      <c r="AB30" s="58"/>
      <c r="AC30" s="58"/>
      <c r="AE30" s="59"/>
    </row>
    <row r="31" spans="3:31" ht="14.25" outlineLevel="1" x14ac:dyDescent="0.2">
      <c r="C31" s="49" t="s">
        <v>64</v>
      </c>
      <c r="D31" s="38" t="s">
        <v>30</v>
      </c>
      <c r="E31" s="50" t="s">
        <v>65</v>
      </c>
      <c r="F31" s="51">
        <v>379000</v>
      </c>
      <c r="G31" s="41">
        <v>49685</v>
      </c>
      <c r="H31" s="42">
        <v>0</v>
      </c>
      <c r="I31" s="42">
        <v>0</v>
      </c>
      <c r="J31" s="52">
        <f>F31</f>
        <v>379000</v>
      </c>
      <c r="K31" s="43">
        <v>6.5714611872146111</v>
      </c>
      <c r="L31" s="43">
        <v>0.19178082191780821</v>
      </c>
      <c r="M31" s="43">
        <v>0.16910845178675762</v>
      </c>
      <c r="N31" s="53">
        <f t="shared" si="5"/>
        <v>7.9282839035831873E-2</v>
      </c>
      <c r="O31" s="53">
        <f t="shared" si="6"/>
        <v>3.4978652753759089E-2</v>
      </c>
      <c r="P31" s="53">
        <f t="shared" si="7"/>
        <v>3.5421223905192825E-2</v>
      </c>
      <c r="Q31" s="54" t="s">
        <v>32</v>
      </c>
      <c r="R31" s="46" t="s">
        <v>61</v>
      </c>
      <c r="S31" s="55">
        <f>+J31</f>
        <v>379000</v>
      </c>
      <c r="T31" s="44">
        <f>S31/$X$12</f>
        <v>5.8987945701336628E-2</v>
      </c>
      <c r="V31" s="3"/>
      <c r="AA31" s="58">
        <v>-0.33698630136986196</v>
      </c>
      <c r="AB31" s="58"/>
      <c r="AC31" s="58"/>
      <c r="AE31" s="59"/>
    </row>
    <row r="32" spans="3:31" outlineLevel="1" x14ac:dyDescent="0.2">
      <c r="C32" s="49" t="s">
        <v>66</v>
      </c>
      <c r="D32" s="38" t="s">
        <v>30</v>
      </c>
      <c r="E32" s="50" t="s">
        <v>67</v>
      </c>
      <c r="F32" s="51">
        <v>5972.1690252250055</v>
      </c>
      <c r="G32" s="41">
        <v>46809</v>
      </c>
      <c r="H32" s="42">
        <v>0</v>
      </c>
      <c r="I32" s="42">
        <f>IF(D32="COP",H32,H32*$D$87/1000)</f>
        <v>0</v>
      </c>
      <c r="J32" s="85">
        <f>IF(D32="COP",F32,F32*$D$87/1000)</f>
        <v>5972.1690252250055</v>
      </c>
      <c r="K32" s="43">
        <v>1.5683877766069534</v>
      </c>
      <c r="L32" s="43">
        <v>7.1232876712328766E-2</v>
      </c>
      <c r="M32" s="43">
        <v>6.6406455524787231E-2</v>
      </c>
      <c r="N32" s="53">
        <f t="shared" si="5"/>
        <v>1.2493153443844196E-3</v>
      </c>
      <c r="O32" s="53">
        <f t="shared" si="6"/>
        <v>5.5118318343034666E-4</v>
      </c>
      <c r="P32" s="53">
        <f t="shared" si="7"/>
        <v>5.5815708771016388E-4</v>
      </c>
      <c r="Q32" s="54" t="s">
        <v>32</v>
      </c>
      <c r="R32" s="46" t="s">
        <v>61</v>
      </c>
      <c r="S32" s="55">
        <f t="shared" ref="S32:S42" si="9">+J32</f>
        <v>5972.1690252250055</v>
      </c>
      <c r="T32" s="44">
        <f t="shared" ref="T32:T42" si="10">S32/$X$12</f>
        <v>9.2951446485271003E-4</v>
      </c>
      <c r="U32" s="1" t="e">
        <v>#REF!</v>
      </c>
      <c r="V32" s="3" t="e">
        <f t="shared" si="8"/>
        <v>#REF!</v>
      </c>
      <c r="W32" s="1" t="s">
        <v>68</v>
      </c>
      <c r="X32" s="23">
        <f ca="1">SUMIF(Q13:Q86,W32,S13:S84)</f>
        <v>10705333.7174896</v>
      </c>
      <c r="Y32" s="86">
        <f ca="1">+X32/$S$86</f>
        <v>0.98801622880521811</v>
      </c>
      <c r="AA32" s="58">
        <v>-0.21189823874755365</v>
      </c>
      <c r="AB32" s="58"/>
      <c r="AC32" s="58"/>
      <c r="AD32" s="87"/>
      <c r="AE32" s="59"/>
    </row>
    <row r="33" spans="3:31" outlineLevel="1" x14ac:dyDescent="0.2">
      <c r="C33" s="49" t="s">
        <v>69</v>
      </c>
      <c r="D33" s="38" t="s">
        <v>30</v>
      </c>
      <c r="E33" s="50" t="s">
        <v>70</v>
      </c>
      <c r="F33" s="51">
        <v>33750</v>
      </c>
      <c r="G33" s="41">
        <v>48108</v>
      </c>
      <c r="H33" s="42"/>
      <c r="I33" s="42"/>
      <c r="J33" s="52">
        <f>IF(D33="COP",F33,F33*$D$84/1000)</f>
        <v>33750</v>
      </c>
      <c r="K33" s="43">
        <v>3.3771689497716904</v>
      </c>
      <c r="L33" s="43">
        <v>0.12328767123287671</v>
      </c>
      <c r="M33" s="43">
        <v>0.11270455608854549</v>
      </c>
      <c r="N33" s="53">
        <f t="shared" si="5"/>
        <v>7.0601472756182731E-3</v>
      </c>
      <c r="O33" s="53">
        <f t="shared" si="6"/>
        <v>3.1148536423202355E-3</v>
      </c>
      <c r="P33" s="53">
        <f t="shared" si="7"/>
        <v>3.1542646617421055E-3</v>
      </c>
      <c r="Q33" s="88" t="s">
        <v>32</v>
      </c>
      <c r="R33" s="46" t="s">
        <v>61</v>
      </c>
      <c r="S33" s="55">
        <f t="shared" si="9"/>
        <v>33750</v>
      </c>
      <c r="T33" s="44">
        <f t="shared" si="10"/>
        <v>5.2528843467549106E-3</v>
      </c>
      <c r="U33" s="1" t="e">
        <v>#REF!</v>
      </c>
      <c r="V33" s="3" t="e">
        <f t="shared" si="8"/>
        <v>#REF!</v>
      </c>
      <c r="W33" s="1" t="s">
        <v>71</v>
      </c>
      <c r="X33" s="4">
        <f ca="1">+S86-X32</f>
        <v>129846.31840442307</v>
      </c>
      <c r="Y33" s="86">
        <f ca="1">+X33/$S$86</f>
        <v>1.1983771194781934E-2</v>
      </c>
      <c r="AA33" s="58">
        <v>-0.21199473648694278</v>
      </c>
      <c r="AB33" s="58"/>
      <c r="AC33" s="58"/>
      <c r="AE33" s="59"/>
    </row>
    <row r="34" spans="3:31" outlineLevel="1" x14ac:dyDescent="0.2">
      <c r="C34" s="49" t="s">
        <v>72</v>
      </c>
      <c r="D34" s="38" t="s">
        <v>30</v>
      </c>
      <c r="E34" s="50" t="s">
        <v>70</v>
      </c>
      <c r="F34" s="51">
        <v>151458.24706557507</v>
      </c>
      <c r="G34" s="41">
        <v>48276</v>
      </c>
      <c r="H34" s="42"/>
      <c r="I34" s="42"/>
      <c r="J34" s="52">
        <f>IF(D34="COP",F34,F34*$D$84/1000)</f>
        <v>151458.24706557507</v>
      </c>
      <c r="K34" s="43">
        <v>3.5889466225791207</v>
      </c>
      <c r="L34" s="43">
        <v>8.4931506849315067E-2</v>
      </c>
      <c r="M34" s="43">
        <v>7.764091641655356E-2</v>
      </c>
      <c r="N34" s="53">
        <f t="shared" si="5"/>
        <v>3.1683482381924123E-2</v>
      </c>
      <c r="O34" s="53">
        <f t="shared" si="6"/>
        <v>1.3978378445382062E-2</v>
      </c>
      <c r="P34" s="53">
        <f t="shared" si="7"/>
        <v>1.4155241376247359E-2</v>
      </c>
      <c r="Q34" s="88" t="s">
        <v>32</v>
      </c>
      <c r="R34" s="46" t="s">
        <v>61</v>
      </c>
      <c r="S34" s="55">
        <f t="shared" si="9"/>
        <v>151458.24706557507</v>
      </c>
      <c r="T34" s="44">
        <f t="shared" si="10"/>
        <v>2.3573115709561394E-2</v>
      </c>
      <c r="U34" s="1" t="e">
        <v>#REF!</v>
      </c>
      <c r="V34" s="3" t="e">
        <f t="shared" si="8"/>
        <v>#REF!</v>
      </c>
      <c r="X34" s="4"/>
      <c r="Y34" s="86"/>
      <c r="AA34" s="58">
        <v>-0.21198998379732048</v>
      </c>
      <c r="AB34" s="58"/>
      <c r="AC34" s="58"/>
      <c r="AE34" s="59"/>
    </row>
    <row r="35" spans="3:31" outlineLevel="1" x14ac:dyDescent="0.2">
      <c r="C35" s="49" t="s">
        <v>73</v>
      </c>
      <c r="D35" s="38" t="s">
        <v>30</v>
      </c>
      <c r="E35" s="50" t="s">
        <v>74</v>
      </c>
      <c r="F35" s="51">
        <v>5250</v>
      </c>
      <c r="G35" s="41">
        <v>47541</v>
      </c>
      <c r="H35" s="42"/>
      <c r="I35" s="42"/>
      <c r="J35" s="52">
        <f t="shared" ref="J35:J42" si="11">IF(D35="COP",F35,F35*$D$87/1000)</f>
        <v>5250</v>
      </c>
      <c r="K35" s="43">
        <v>2.5720808871493799</v>
      </c>
      <c r="L35" s="43">
        <v>7.3972602739726029E-2</v>
      </c>
      <c r="M35" s="43">
        <v>6.8991701831418603E-2</v>
      </c>
      <c r="N35" s="53">
        <f t="shared" si="5"/>
        <v>1.0982451317628425E-3</v>
      </c>
      <c r="O35" s="53">
        <f t="shared" si="6"/>
        <v>4.8453278880537001E-4</v>
      </c>
      <c r="P35" s="53">
        <f t="shared" si="7"/>
        <v>4.9066339182654974E-4</v>
      </c>
      <c r="Q35" s="54" t="s">
        <v>32</v>
      </c>
      <c r="R35" s="46" t="s">
        <v>61</v>
      </c>
      <c r="S35" s="55">
        <f t="shared" si="9"/>
        <v>5250</v>
      </c>
      <c r="T35" s="44">
        <f t="shared" si="10"/>
        <v>8.1711534282854158E-4</v>
      </c>
      <c r="U35" s="1" t="e">
        <v>#REF!</v>
      </c>
      <c r="V35" s="3" t="e">
        <f t="shared" si="8"/>
        <v>#REF!</v>
      </c>
      <c r="X35" s="4">
        <f ca="1">SUM(X32:X33)</f>
        <v>10835180.035894023</v>
      </c>
      <c r="AA35" s="58">
        <v>-0.21189019437977041</v>
      </c>
      <c r="AB35" s="58"/>
      <c r="AC35" s="58"/>
      <c r="AE35" s="59"/>
    </row>
    <row r="36" spans="3:31" outlineLevel="1" x14ac:dyDescent="0.2">
      <c r="C36" s="49" t="s">
        <v>75</v>
      </c>
      <c r="D36" s="38" t="s">
        <v>30</v>
      </c>
      <c r="E36" s="50" t="s">
        <v>76</v>
      </c>
      <c r="F36" s="51">
        <v>24000</v>
      </c>
      <c r="G36" s="41">
        <v>47148</v>
      </c>
      <c r="H36" s="42">
        <v>0</v>
      </c>
      <c r="I36" s="42">
        <f>IF(D36="COP",H36,H36*$D$87/1000)</f>
        <v>0</v>
      </c>
      <c r="J36" s="52">
        <f t="shared" si="11"/>
        <v>24000</v>
      </c>
      <c r="K36" s="43">
        <v>2.1205479452054798</v>
      </c>
      <c r="L36" s="43">
        <v>0.24722222222222223</v>
      </c>
      <c r="M36" s="43">
        <v>0.22903268064108795</v>
      </c>
      <c r="N36" s="53">
        <f t="shared" si="5"/>
        <v>5.0205491737729943E-3</v>
      </c>
      <c r="O36" s="53">
        <f t="shared" si="6"/>
        <v>2.2150070345388342E-3</v>
      </c>
      <c r="P36" s="53">
        <f t="shared" si="7"/>
        <v>2.2430326483499417E-3</v>
      </c>
      <c r="Q36" s="54" t="s">
        <v>32</v>
      </c>
      <c r="R36" s="46" t="s">
        <v>58</v>
      </c>
      <c r="S36" s="55">
        <f t="shared" si="9"/>
        <v>24000</v>
      </c>
      <c r="T36" s="44">
        <f t="shared" si="10"/>
        <v>3.7353844243590475E-3</v>
      </c>
      <c r="U36" s="1" t="e">
        <v>#REF!</v>
      </c>
      <c r="V36" s="3" t="e">
        <f t="shared" si="8"/>
        <v>#REF!</v>
      </c>
      <c r="AA36" s="58">
        <v>-8.6831502608253341E-2</v>
      </c>
      <c r="AB36" s="58"/>
      <c r="AC36" s="58"/>
      <c r="AE36" s="59"/>
    </row>
    <row r="37" spans="3:31" outlineLevel="1" x14ac:dyDescent="0.2">
      <c r="C37" s="49" t="s">
        <v>177</v>
      </c>
      <c r="D37" s="38" t="s">
        <v>30</v>
      </c>
      <c r="E37" s="50" t="s">
        <v>77</v>
      </c>
      <c r="F37" s="51">
        <v>230000</v>
      </c>
      <c r="G37" s="41">
        <v>48969</v>
      </c>
      <c r="H37" s="42"/>
      <c r="I37" s="42"/>
      <c r="J37" s="52">
        <f t="shared" si="11"/>
        <v>230000</v>
      </c>
      <c r="K37" s="43">
        <v>4.6085996955859967</v>
      </c>
      <c r="L37" s="43">
        <v>0.23013698630136986</v>
      </c>
      <c r="M37" s="43">
        <v>0.20818021864127464</v>
      </c>
      <c r="N37" s="53">
        <f t="shared" si="5"/>
        <v>4.811359624865786E-2</v>
      </c>
      <c r="O37" s="53">
        <f t="shared" si="6"/>
        <v>2.1227150747663827E-2</v>
      </c>
      <c r="P37" s="53">
        <f t="shared" si="7"/>
        <v>2.149572954668694E-2</v>
      </c>
      <c r="Q37" s="54" t="s">
        <v>32</v>
      </c>
      <c r="R37" s="46" t="s">
        <v>61</v>
      </c>
      <c r="S37" s="55">
        <f t="shared" si="9"/>
        <v>230000</v>
      </c>
      <c r="T37" s="44">
        <f t="shared" si="10"/>
        <v>3.5797434066774207E-2</v>
      </c>
      <c r="U37" s="1" t="e">
        <v>#REF!</v>
      </c>
      <c r="V37" s="3" t="e">
        <f t="shared" si="8"/>
        <v>#REF!</v>
      </c>
      <c r="AA37" s="58">
        <v>-0.33698630136986374</v>
      </c>
      <c r="AB37" s="58"/>
      <c r="AC37" s="58"/>
      <c r="AE37" s="59"/>
    </row>
    <row r="38" spans="3:31" outlineLevel="1" x14ac:dyDescent="0.2">
      <c r="C38" s="49" t="s">
        <v>178</v>
      </c>
      <c r="D38" s="38" t="s">
        <v>30</v>
      </c>
      <c r="E38" s="50" t="s">
        <v>78</v>
      </c>
      <c r="F38" s="51">
        <v>330000.30000000005</v>
      </c>
      <c r="G38" s="41">
        <v>48969</v>
      </c>
      <c r="H38" s="42"/>
      <c r="I38" s="42"/>
      <c r="J38" s="52">
        <f t="shared" si="11"/>
        <v>330000.30000000005</v>
      </c>
      <c r="K38" s="43">
        <v>4.6085996955859976</v>
      </c>
      <c r="L38" s="43">
        <v>0.23013698630136986</v>
      </c>
      <c r="M38" s="43">
        <v>0.2075980644446177</v>
      </c>
      <c r="N38" s="53">
        <f t="shared" si="5"/>
        <v>6.903261389624335E-2</v>
      </c>
      <c r="O38" s="53">
        <f t="shared" si="6"/>
        <v>3.0456374412496906E-2</v>
      </c>
      <c r="P38" s="53">
        <f t="shared" si="7"/>
        <v>3.0841726952719806E-2</v>
      </c>
      <c r="Q38" s="54" t="s">
        <v>32</v>
      </c>
      <c r="R38" s="46" t="s">
        <v>61</v>
      </c>
      <c r="S38" s="55">
        <f t="shared" si="9"/>
        <v>330000.30000000005</v>
      </c>
      <c r="T38" s="44">
        <f t="shared" si="10"/>
        <v>5.1361582527242211E-2</v>
      </c>
      <c r="U38" s="1" t="e">
        <v>#REF!</v>
      </c>
      <c r="V38" s="3" t="e">
        <f t="shared" si="8"/>
        <v>#REF!</v>
      </c>
      <c r="AA38" s="58">
        <v>-8.6826341620861669E-2</v>
      </c>
      <c r="AB38" s="58"/>
      <c r="AC38" s="58"/>
      <c r="AE38" s="59"/>
    </row>
    <row r="39" spans="3:31" outlineLevel="1" x14ac:dyDescent="0.2">
      <c r="C39" s="49" t="s">
        <v>179</v>
      </c>
      <c r="D39" s="38" t="s">
        <v>30</v>
      </c>
      <c r="E39" s="50" t="s">
        <v>78</v>
      </c>
      <c r="F39" s="51">
        <v>198000</v>
      </c>
      <c r="G39" s="41">
        <v>48969</v>
      </c>
      <c r="H39" s="42"/>
      <c r="I39" s="42"/>
      <c r="J39" s="52">
        <f t="shared" si="11"/>
        <v>198000</v>
      </c>
      <c r="K39" s="43">
        <v>4.6085996955859958</v>
      </c>
      <c r="L39" s="43">
        <v>0.23013698630136986</v>
      </c>
      <c r="M39" s="43">
        <v>0.2075980644446177</v>
      </c>
      <c r="N39" s="53">
        <f t="shared" si="5"/>
        <v>4.1419530683627206E-2</v>
      </c>
      <c r="O39" s="53">
        <f t="shared" si="6"/>
        <v>1.8273808034945382E-2</v>
      </c>
      <c r="P39" s="53">
        <f t="shared" si="7"/>
        <v>1.8505019348887018E-2</v>
      </c>
      <c r="Q39" s="54" t="s">
        <v>32</v>
      </c>
      <c r="R39" s="46" t="s">
        <v>61</v>
      </c>
      <c r="S39" s="55">
        <f t="shared" si="9"/>
        <v>198000</v>
      </c>
      <c r="T39" s="44">
        <f t="shared" si="10"/>
        <v>3.081692150096214E-2</v>
      </c>
      <c r="U39" s="1" t="e">
        <v>#REF!</v>
      </c>
      <c r="V39" s="3" t="e">
        <f t="shared" si="8"/>
        <v>#REF!</v>
      </c>
      <c r="AA39" s="58">
        <v>-8.6826341620862557E-2</v>
      </c>
      <c r="AB39" s="58"/>
      <c r="AC39" s="58"/>
      <c r="AE39" s="59"/>
    </row>
    <row r="40" spans="3:31" outlineLevel="1" x14ac:dyDescent="0.2">
      <c r="C40" s="49" t="s">
        <v>180</v>
      </c>
      <c r="D40" s="38" t="s">
        <v>30</v>
      </c>
      <c r="E40" s="50" t="s">
        <v>78</v>
      </c>
      <c r="F40" s="51">
        <v>85799.700000000012</v>
      </c>
      <c r="G40" s="41">
        <v>48969</v>
      </c>
      <c r="H40" s="42"/>
      <c r="I40" s="42"/>
      <c r="J40" s="52">
        <f t="shared" si="11"/>
        <v>85799.700000000012</v>
      </c>
      <c r="K40" s="43">
        <v>4.6085996955859976</v>
      </c>
      <c r="L40" s="43">
        <v>0.23013698630136986</v>
      </c>
      <c r="M40" s="43">
        <v>0.2075980644446177</v>
      </c>
      <c r="N40" s="53">
        <f t="shared" si="5"/>
        <v>1.7948400539373785E-2</v>
      </c>
      <c r="O40" s="53">
        <f t="shared" si="6"/>
        <v>7.9186224608884023E-3</v>
      </c>
      <c r="P40" s="53">
        <f t="shared" si="7"/>
        <v>8.0188136799429384E-3</v>
      </c>
      <c r="Q40" s="54" t="s">
        <v>32</v>
      </c>
      <c r="R40" s="46" t="s">
        <v>61</v>
      </c>
      <c r="S40" s="55">
        <f>+J40</f>
        <v>85799.700000000012</v>
      </c>
      <c r="T40" s="44">
        <f>S40/$X$12</f>
        <v>1.3353952624778292E-2</v>
      </c>
      <c r="U40" s="1" t="e">
        <v>#REF!</v>
      </c>
      <c r="V40" s="3" t="e">
        <f t="shared" si="8"/>
        <v>#REF!</v>
      </c>
      <c r="AA40" s="58">
        <v>-8.6826341620860781E-2</v>
      </c>
      <c r="AB40" s="58"/>
      <c r="AC40" s="58"/>
      <c r="AE40" s="59"/>
    </row>
    <row r="41" spans="3:31" ht="14.25" outlineLevel="1" x14ac:dyDescent="0.2">
      <c r="C41" s="49" t="s">
        <v>79</v>
      </c>
      <c r="D41" s="38" t="s">
        <v>30</v>
      </c>
      <c r="E41" s="50" t="s">
        <v>80</v>
      </c>
      <c r="F41" s="51">
        <v>130000</v>
      </c>
      <c r="G41" s="41">
        <v>49363</v>
      </c>
      <c r="H41" s="42"/>
      <c r="I41" s="42"/>
      <c r="J41" s="52">
        <f t="shared" si="11"/>
        <v>130000</v>
      </c>
      <c r="K41" s="43">
        <v>5.1876712328767125</v>
      </c>
      <c r="L41" s="43">
        <v>6.3013698630136991E-2</v>
      </c>
      <c r="M41" s="43">
        <v>5.6827973693589752E-2</v>
      </c>
      <c r="N41" s="53">
        <f t="shared" si="5"/>
        <v>2.7194641357937054E-2</v>
      </c>
      <c r="O41" s="53">
        <f t="shared" si="6"/>
        <v>1.1997954770418685E-2</v>
      </c>
      <c r="P41" s="53">
        <f t="shared" si="7"/>
        <v>1.2149760178562183E-2</v>
      </c>
      <c r="Q41" s="54" t="s">
        <v>32</v>
      </c>
      <c r="R41" s="46" t="s">
        <v>61</v>
      </c>
      <c r="S41" s="55">
        <f>+J41</f>
        <v>130000</v>
      </c>
      <c r="T41" s="44">
        <f>S41/$X$12</f>
        <v>2.0233332298611507E-2</v>
      </c>
      <c r="V41" s="3"/>
      <c r="AA41" s="58">
        <v>-0.33698630136986285</v>
      </c>
      <c r="AB41" s="58"/>
      <c r="AC41" s="58"/>
      <c r="AE41" s="59"/>
    </row>
    <row r="42" spans="3:31" outlineLevel="1" x14ac:dyDescent="0.2">
      <c r="C42" s="49" t="s">
        <v>181</v>
      </c>
      <c r="D42" s="38" t="s">
        <v>30</v>
      </c>
      <c r="E42" s="50" t="s">
        <v>78</v>
      </c>
      <c r="F42" s="51">
        <v>79200</v>
      </c>
      <c r="G42" s="41">
        <v>48969</v>
      </c>
      <c r="H42" s="42"/>
      <c r="I42" s="42"/>
      <c r="J42" s="52">
        <f t="shared" si="11"/>
        <v>79200</v>
      </c>
      <c r="K42" s="43">
        <v>4.6085996955859967</v>
      </c>
      <c r="L42" s="43">
        <v>0.23013698630136986</v>
      </c>
      <c r="M42" s="43">
        <v>0.2075980644446177</v>
      </c>
      <c r="N42" s="53">
        <f t="shared" si="5"/>
        <v>1.6567812273450881E-2</v>
      </c>
      <c r="O42" s="53">
        <f t="shared" si="6"/>
        <v>7.309523213978153E-3</v>
      </c>
      <c r="P42" s="53">
        <f t="shared" si="7"/>
        <v>7.4020077395548075E-3</v>
      </c>
      <c r="Q42" s="54" t="s">
        <v>32</v>
      </c>
      <c r="R42" s="46" t="s">
        <v>61</v>
      </c>
      <c r="S42" s="55">
        <f t="shared" si="9"/>
        <v>79200</v>
      </c>
      <c r="T42" s="44">
        <f t="shared" si="10"/>
        <v>1.2326768600384857E-2</v>
      </c>
      <c r="U42" s="1" t="e">
        <v>#REF!</v>
      </c>
      <c r="V42" s="3" t="e">
        <f t="shared" si="8"/>
        <v>#REF!</v>
      </c>
      <c r="X42" s="4"/>
      <c r="AA42" s="58">
        <v>-8.6826341620862557E-2</v>
      </c>
      <c r="AB42" s="58"/>
      <c r="AC42" s="58"/>
      <c r="AE42" s="59"/>
    </row>
    <row r="43" spans="3:31" ht="14.25" outlineLevel="1" x14ac:dyDescent="0.2">
      <c r="C43" s="49" t="s">
        <v>81</v>
      </c>
      <c r="D43" s="38" t="s">
        <v>30</v>
      </c>
      <c r="E43" s="38" t="s">
        <v>63</v>
      </c>
      <c r="F43" s="51">
        <v>200000</v>
      </c>
      <c r="G43" s="41">
        <v>49307</v>
      </c>
      <c r="H43" s="49">
        <v>0</v>
      </c>
      <c r="I43" s="49">
        <v>0</v>
      </c>
      <c r="J43" s="52">
        <v>200000</v>
      </c>
      <c r="K43" s="89">
        <v>5.5366057838660581</v>
      </c>
      <c r="L43" s="89">
        <v>0.15616438356164383</v>
      </c>
      <c r="M43" s="89">
        <v>0.13757764387423471</v>
      </c>
      <c r="N43" s="53">
        <f t="shared" si="5"/>
        <v>4.1837909781441619E-2</v>
      </c>
      <c r="O43" s="53">
        <f t="shared" si="6"/>
        <v>1.8458391954490286E-2</v>
      </c>
      <c r="P43" s="53">
        <f t="shared" si="7"/>
        <v>1.8691938736249514E-2</v>
      </c>
      <c r="Q43" s="46" t="s">
        <v>32</v>
      </c>
      <c r="R43" s="46" t="s">
        <v>61</v>
      </c>
      <c r="S43" s="46">
        <v>200000</v>
      </c>
      <c r="T43" s="90">
        <v>2.1229777229352709E-2</v>
      </c>
      <c r="V43" s="3"/>
      <c r="X43" s="4"/>
      <c r="AA43" s="58">
        <v>-0.33698630136986463</v>
      </c>
      <c r="AB43" s="58"/>
      <c r="AC43" s="58"/>
      <c r="AE43" s="59"/>
    </row>
    <row r="44" spans="3:31" ht="14.25" outlineLevel="1" x14ac:dyDescent="0.2">
      <c r="C44" s="49" t="s">
        <v>82</v>
      </c>
      <c r="D44" s="38" t="s">
        <v>30</v>
      </c>
      <c r="E44" s="38" t="s">
        <v>63</v>
      </c>
      <c r="F44" s="51">
        <v>283333</v>
      </c>
      <c r="G44" s="41">
        <v>49304</v>
      </c>
      <c r="H44" s="49">
        <v>0</v>
      </c>
      <c r="I44" s="49">
        <v>0</v>
      </c>
      <c r="J44" s="52">
        <v>283333</v>
      </c>
      <c r="K44" s="89">
        <v>5.0280821917808209</v>
      </c>
      <c r="L44" s="89">
        <v>0.14794520547945206</v>
      </c>
      <c r="M44" s="89">
        <v>0.13037921397993538</v>
      </c>
      <c r="N44" s="53">
        <f t="shared" si="5"/>
        <v>5.9270302460525989E-2</v>
      </c>
      <c r="O44" s="53">
        <f t="shared" si="6"/>
        <v>2.614935783820798E-2</v>
      </c>
      <c r="P44" s="53">
        <f t="shared" si="7"/>
        <v>2.6480215389788918E-2</v>
      </c>
      <c r="Q44" s="46" t="s">
        <v>32</v>
      </c>
      <c r="R44" s="46" t="s">
        <v>61</v>
      </c>
      <c r="S44" s="46">
        <v>283333</v>
      </c>
      <c r="T44" s="90">
        <v>3.0075482358620953E-2</v>
      </c>
      <c r="V44" s="3"/>
      <c r="X44" s="4"/>
      <c r="AA44" s="58">
        <v>-0.33698630136986107</v>
      </c>
      <c r="AB44" s="58"/>
      <c r="AC44" s="58"/>
      <c r="AE44" s="59"/>
    </row>
    <row r="45" spans="3:31" ht="14.25" outlineLevel="1" x14ac:dyDescent="0.2">
      <c r="C45" s="49" t="s">
        <v>79</v>
      </c>
      <c r="D45" s="38" t="s">
        <v>30</v>
      </c>
      <c r="E45" s="38" t="s">
        <v>80</v>
      </c>
      <c r="F45" s="51">
        <v>120000</v>
      </c>
      <c r="G45" s="41">
        <v>49304</v>
      </c>
      <c r="H45" s="49">
        <v>0</v>
      </c>
      <c r="I45" s="49">
        <v>0</v>
      </c>
      <c r="J45" s="52">
        <v>120000</v>
      </c>
      <c r="K45" s="89">
        <v>5.528386605783866</v>
      </c>
      <c r="L45" s="89">
        <v>0.14794520547945206</v>
      </c>
      <c r="M45" s="89">
        <v>0.13364155034592745</v>
      </c>
      <c r="N45" s="53">
        <f t="shared" si="5"/>
        <v>2.5102745868864972E-2</v>
      </c>
      <c r="O45" s="53">
        <f t="shared" si="6"/>
        <v>1.1075035172694172E-2</v>
      </c>
      <c r="P45" s="53">
        <f t="shared" si="7"/>
        <v>1.1215163241749707E-2</v>
      </c>
      <c r="Q45" s="46" t="s">
        <v>32</v>
      </c>
      <c r="R45" s="46" t="s">
        <v>61</v>
      </c>
      <c r="S45" s="46">
        <v>120000</v>
      </c>
      <c r="T45" s="90">
        <v>1.2737866337611625E-2</v>
      </c>
      <c r="V45" s="3"/>
      <c r="X45" s="4"/>
      <c r="AA45" s="58">
        <v>-0.33698630136986019</v>
      </c>
      <c r="AB45" s="58"/>
      <c r="AC45" s="58"/>
      <c r="AE45" s="59"/>
    </row>
    <row r="46" spans="3:31" outlineLevel="1" x14ac:dyDescent="0.2">
      <c r="C46" s="49" t="s">
        <v>83</v>
      </c>
      <c r="D46" s="38" t="s">
        <v>30</v>
      </c>
      <c r="E46" s="38" t="s">
        <v>84</v>
      </c>
      <c r="F46" s="51">
        <v>753820</v>
      </c>
      <c r="G46" s="41">
        <v>50020</v>
      </c>
      <c r="H46" s="49"/>
      <c r="I46" s="49"/>
      <c r="J46" s="52">
        <v>753820</v>
      </c>
      <c r="K46" s="89">
        <v>7.4888127853881272</v>
      </c>
      <c r="L46" s="89">
        <v>0.10684931506849316</v>
      </c>
      <c r="M46" s="89">
        <v>9.3601845828399741E-2</v>
      </c>
      <c r="N46" s="53">
        <f t="shared" si="5"/>
        <v>0.15769126575723161</v>
      </c>
      <c r="O46" s="53">
        <f t="shared" si="6"/>
        <v>6.957152511566933E-2</v>
      </c>
      <c r="P46" s="53">
        <f t="shared" si="7"/>
        <v>7.0451786290798041E-2</v>
      </c>
      <c r="Q46" s="46"/>
      <c r="R46" s="46"/>
      <c r="S46" s="46"/>
      <c r="T46" s="90"/>
      <c r="V46" s="3"/>
      <c r="X46" s="4"/>
      <c r="AA46" s="58"/>
      <c r="AB46" s="58"/>
      <c r="AC46" s="58"/>
      <c r="AE46" s="59"/>
    </row>
    <row r="47" spans="3:31" outlineLevel="1" x14ac:dyDescent="0.2">
      <c r="C47" s="49" t="s">
        <v>85</v>
      </c>
      <c r="D47" s="38" t="s">
        <v>30</v>
      </c>
      <c r="E47" s="38" t="s">
        <v>86</v>
      </c>
      <c r="F47" s="51">
        <v>300000</v>
      </c>
      <c r="G47" s="41">
        <v>50020</v>
      </c>
      <c r="H47" s="49"/>
      <c r="I47" s="49"/>
      <c r="J47" s="52">
        <v>300000</v>
      </c>
      <c r="K47" s="89">
        <v>7.488812785388129</v>
      </c>
      <c r="L47" s="89">
        <v>0.10684931506849316</v>
      </c>
      <c r="M47" s="89">
        <v>9.4321529517922678E-2</v>
      </c>
      <c r="N47" s="53">
        <f t="shared" si="5"/>
        <v>6.2756864672162432E-2</v>
      </c>
      <c r="O47" s="53">
        <f t="shared" si="6"/>
        <v>2.7687587931735428E-2</v>
      </c>
      <c r="P47" s="53">
        <f t="shared" si="7"/>
        <v>2.803790810437427E-2</v>
      </c>
      <c r="Q47" s="46"/>
      <c r="R47" s="46"/>
      <c r="S47" s="46"/>
      <c r="T47" s="90"/>
      <c r="V47" s="3"/>
      <c r="X47" s="4"/>
      <c r="AA47" s="58"/>
      <c r="AB47" s="58"/>
      <c r="AC47" s="58"/>
      <c r="AE47" s="59"/>
    </row>
    <row r="48" spans="3:31" outlineLevel="1" x14ac:dyDescent="0.2">
      <c r="C48" s="49" t="s">
        <v>87</v>
      </c>
      <c r="D48" s="38" t="s">
        <v>30</v>
      </c>
      <c r="E48" s="38" t="s">
        <v>88</v>
      </c>
      <c r="F48" s="51">
        <v>146180</v>
      </c>
      <c r="G48" s="41">
        <v>50028</v>
      </c>
      <c r="H48" s="49"/>
      <c r="I48" s="49"/>
      <c r="J48" s="52">
        <v>146180</v>
      </c>
      <c r="K48" s="89">
        <v>7.0102739726027377</v>
      </c>
      <c r="L48" s="89">
        <v>0.12876712328767123</v>
      </c>
      <c r="M48" s="89">
        <v>0.11348620569133322</v>
      </c>
      <c r="N48" s="53">
        <f t="shared" si="5"/>
        <v>3.0579328259255679E-2</v>
      </c>
      <c r="O48" s="53">
        <f t="shared" si="6"/>
        <v>1.349123867953695E-2</v>
      </c>
      <c r="P48" s="53">
        <f t="shared" si="7"/>
        <v>1.3661938022324769E-2</v>
      </c>
      <c r="Q48" s="46"/>
      <c r="R48" s="46"/>
      <c r="S48" s="46"/>
      <c r="T48" s="90"/>
      <c r="V48" s="3"/>
      <c r="X48" s="4"/>
      <c r="AA48" s="58"/>
      <c r="AB48" s="58"/>
      <c r="AC48" s="58"/>
      <c r="AE48" s="59"/>
    </row>
    <row r="49" spans="3:31" ht="14.25" outlineLevel="1" x14ac:dyDescent="0.2">
      <c r="C49" s="91" t="s">
        <v>89</v>
      </c>
      <c r="D49" s="38" t="s">
        <v>30</v>
      </c>
      <c r="E49" s="38" t="s">
        <v>63</v>
      </c>
      <c r="F49" s="51">
        <v>800000</v>
      </c>
      <c r="G49" s="41">
        <v>49336</v>
      </c>
      <c r="H49" s="38">
        <v>0</v>
      </c>
      <c r="I49" s="38">
        <v>0</v>
      </c>
      <c r="J49" s="63">
        <v>800000</v>
      </c>
      <c r="K49" s="92">
        <v>5.6146879756468797</v>
      </c>
      <c r="L49" s="92">
        <v>0.23561643835616439</v>
      </c>
      <c r="M49" s="92">
        <v>0.20685019538444097</v>
      </c>
      <c r="N49" s="53">
        <f t="shared" si="5"/>
        <v>0.16735163912576648</v>
      </c>
      <c r="O49" s="93">
        <f>J49/($J$86)</f>
        <v>7.3833567817961146E-2</v>
      </c>
      <c r="P49" s="53">
        <f t="shared" si="7"/>
        <v>7.4767754944998058E-2</v>
      </c>
      <c r="Q49" s="54" t="s">
        <v>32</v>
      </c>
      <c r="R49" s="46" t="s">
        <v>61</v>
      </c>
      <c r="S49" s="46">
        <f>+J49</f>
        <v>800000</v>
      </c>
      <c r="T49" s="93">
        <f>S49/$X$12</f>
        <v>0.12451281414530158</v>
      </c>
      <c r="V49" s="3"/>
      <c r="X49" s="4"/>
      <c r="AA49" s="58">
        <v>-0.33698630136986374</v>
      </c>
      <c r="AB49" s="58"/>
      <c r="AC49" s="58"/>
      <c r="AE49" s="59"/>
    </row>
    <row r="50" spans="3:31" ht="14.25" outlineLevel="1" x14ac:dyDescent="0.2">
      <c r="C50" s="91" t="s">
        <v>90</v>
      </c>
      <c r="D50" s="38" t="s">
        <v>30</v>
      </c>
      <c r="E50" s="38" t="s">
        <v>63</v>
      </c>
      <c r="F50" s="63">
        <v>200000</v>
      </c>
      <c r="G50" s="41">
        <v>49336</v>
      </c>
      <c r="H50" s="38">
        <v>0</v>
      </c>
      <c r="I50" s="38">
        <v>0</v>
      </c>
      <c r="J50" s="63">
        <v>200000</v>
      </c>
      <c r="K50" s="92">
        <v>5.6146879756468806</v>
      </c>
      <c r="L50" s="92">
        <v>0.23561643835616439</v>
      </c>
      <c r="M50" s="92">
        <v>0.20739605689452623</v>
      </c>
      <c r="N50" s="53">
        <f t="shared" si="5"/>
        <v>4.1837909781441619E-2</v>
      </c>
      <c r="O50" s="93">
        <f>J50/($J$86)</f>
        <v>1.8458391954490286E-2</v>
      </c>
      <c r="P50" s="53">
        <f t="shared" si="7"/>
        <v>1.8691938736249514E-2</v>
      </c>
      <c r="Q50" s="54" t="s">
        <v>32</v>
      </c>
      <c r="R50" s="46" t="s">
        <v>61</v>
      </c>
      <c r="S50" s="46">
        <f>+J50</f>
        <v>200000</v>
      </c>
      <c r="T50" s="93">
        <f>S50/$X$12</f>
        <v>3.1128203536325394E-2</v>
      </c>
      <c r="V50" s="3"/>
      <c r="X50" s="4"/>
      <c r="AA50" s="58">
        <v>-0.33698630136986107</v>
      </c>
      <c r="AB50" s="58"/>
      <c r="AC50" s="58"/>
      <c r="AE50" s="59"/>
    </row>
    <row r="51" spans="3:31" x14ac:dyDescent="0.2">
      <c r="C51" s="67" t="s">
        <v>91</v>
      </c>
      <c r="D51" s="68"/>
      <c r="E51" s="94"/>
      <c r="F51" s="73">
        <f>SUM(F28:F50)</f>
        <v>4780353.5368948001</v>
      </c>
      <c r="G51" s="71"/>
      <c r="H51" s="72">
        <f>SUM(H28:H32)</f>
        <v>0</v>
      </c>
      <c r="I51" s="72">
        <f>SUM(I28:I32)</f>
        <v>0</v>
      </c>
      <c r="J51" s="95">
        <f>SUM(J28:J50)</f>
        <v>4780353.5368948001</v>
      </c>
      <c r="K51" s="74">
        <f>+SUMPRODUCT(K28:K50,$N$28:$N$50)</f>
        <v>5.8549622752645982</v>
      </c>
      <c r="L51" s="74">
        <f>+SUMPRODUCT(L28:L50,$N$28:$N$50)</f>
        <v>0.17508607347805308</v>
      </c>
      <c r="M51" s="74">
        <f>+SUMPRODUCT(M28:M50,$N$28:$N$50)</f>
        <v>0.15538818177383887</v>
      </c>
      <c r="N51" s="75">
        <f>SUM(N28:N50)</f>
        <v>0.99999999999999989</v>
      </c>
      <c r="O51" s="75">
        <f>SUM(O28:O50)</f>
        <v>0.4411881963251908</v>
      </c>
      <c r="P51" s="75">
        <f>SUM(P28:P50)</f>
        <v>0.4467703772462564</v>
      </c>
      <c r="Q51" s="54" t="s">
        <v>32</v>
      </c>
      <c r="R51" s="46" t="s">
        <v>61</v>
      </c>
      <c r="S51" s="78">
        <f>SUM(S28:S50)</f>
        <v>3580353.5368948001</v>
      </c>
      <c r="T51" s="44"/>
      <c r="U51" s="1" t="e">
        <v>#REF!</v>
      </c>
      <c r="V51" s="3" t="e">
        <f t="shared" si="8"/>
        <v>#REF!</v>
      </c>
      <c r="AA51" s="58">
        <v>-0.26047386165015318</v>
      </c>
      <c r="AB51" s="58"/>
      <c r="AC51" s="58"/>
      <c r="AD51" s="96"/>
      <c r="AE51" s="59"/>
    </row>
    <row r="52" spans="3:31" x14ac:dyDescent="0.2">
      <c r="C52" s="37" t="s">
        <v>92</v>
      </c>
      <c r="D52" s="38"/>
      <c r="E52" s="97"/>
      <c r="F52" s="63"/>
      <c r="G52" s="41"/>
      <c r="H52" s="49"/>
      <c r="I52" s="42"/>
      <c r="J52" s="64"/>
      <c r="K52" s="43"/>
      <c r="L52" s="43"/>
      <c r="M52" s="43"/>
      <c r="N52" s="53"/>
      <c r="O52" s="53"/>
      <c r="P52" s="53"/>
      <c r="Q52" s="54"/>
      <c r="R52" s="46"/>
      <c r="S52" s="46"/>
      <c r="T52" s="44"/>
      <c r="V52" s="3">
        <f t="shared" si="8"/>
        <v>0</v>
      </c>
      <c r="AA52" s="58">
        <v>0</v>
      </c>
      <c r="AB52" s="58"/>
      <c r="AC52" s="58"/>
      <c r="AE52" s="59"/>
    </row>
    <row r="53" spans="3:31" ht="15" x14ac:dyDescent="0.25">
      <c r="C53" s="49" t="s">
        <v>93</v>
      </c>
      <c r="D53" s="38" t="s">
        <v>30</v>
      </c>
      <c r="E53" s="98">
        <v>8.5300000000000001E-2</v>
      </c>
      <c r="F53" s="51">
        <v>666666.66666666651</v>
      </c>
      <c r="G53" s="41">
        <v>47074</v>
      </c>
      <c r="H53" s="49"/>
      <c r="I53" s="42"/>
      <c r="J53" s="52">
        <f>IF(D53="COP",F53,F53*$D$87/1000)</f>
        <v>666666.66666666651</v>
      </c>
      <c r="K53" s="43">
        <v>2.0431506849315073</v>
      </c>
      <c r="L53" s="43">
        <v>1.8940162195515293</v>
      </c>
      <c r="M53" s="43">
        <v>1.745154537502561</v>
      </c>
      <c r="N53" s="53">
        <f>J53/$J$54</f>
        <v>1</v>
      </c>
      <c r="O53" s="53">
        <f>J53/$J$86</f>
        <v>6.152797318163427E-2</v>
      </c>
      <c r="P53" s="53">
        <f>(J53)/($J$65)</f>
        <v>6.2306462454165032E-2</v>
      </c>
      <c r="Q53" s="54" t="s">
        <v>51</v>
      </c>
      <c r="R53" s="46" t="s">
        <v>36</v>
      </c>
      <c r="S53" s="55">
        <f>+J53</f>
        <v>666666.66666666651</v>
      </c>
      <c r="T53" s="44">
        <f>S53/$X$11</f>
        <v>0.15116683148796078</v>
      </c>
      <c r="U53" s="1" t="e">
        <v>#REF!</v>
      </c>
      <c r="V53" s="3" t="e">
        <f t="shared" si="8"/>
        <v>#REF!</v>
      </c>
      <c r="AA53" s="58">
        <v>-0.33698630136986329</v>
      </c>
      <c r="AB53" s="58"/>
      <c r="AC53" s="58"/>
      <c r="AE53" s="59"/>
    </row>
    <row r="54" spans="3:31" x14ac:dyDescent="0.2">
      <c r="C54" s="67" t="s">
        <v>94</v>
      </c>
      <c r="D54" s="68"/>
      <c r="E54" s="99"/>
      <c r="F54" s="95">
        <f>SUM(F52:F53)</f>
        <v>666666.66666666651</v>
      </c>
      <c r="G54" s="71"/>
      <c r="H54" s="72">
        <f>SUM(H36:H53)</f>
        <v>0</v>
      </c>
      <c r="I54" s="72">
        <f>SUM(I36:I53)</f>
        <v>0</v>
      </c>
      <c r="J54" s="95">
        <f>SUM(J53)</f>
        <v>666666.66666666651</v>
      </c>
      <c r="K54" s="74">
        <f>SUMPRODUCT(K53,$N$53)</f>
        <v>2.0431506849315073</v>
      </c>
      <c r="L54" s="74">
        <f>SUMPRODUCT(L53,$N$53)</f>
        <v>1.8940162195515293</v>
      </c>
      <c r="M54" s="74">
        <f>SUMPRODUCT(M53,$N$53)</f>
        <v>1.745154537502561</v>
      </c>
      <c r="N54" s="75">
        <f>SUM(N53)</f>
        <v>1</v>
      </c>
      <c r="O54" s="75">
        <f>SUM(O53)</f>
        <v>6.152797318163427E-2</v>
      </c>
      <c r="P54" s="75">
        <f>SUM(P53)</f>
        <v>6.2306462454165032E-2</v>
      </c>
      <c r="Q54" s="76"/>
      <c r="R54" s="77"/>
      <c r="S54" s="100">
        <f>SUM(S53)</f>
        <v>666666.66666666651</v>
      </c>
      <c r="T54" s="79"/>
      <c r="U54" s="1" t="e">
        <v>#REF!</v>
      </c>
      <c r="V54" s="3" t="e">
        <f t="shared" si="8"/>
        <v>#REF!</v>
      </c>
      <c r="AA54" s="58">
        <v>-0.33698630136986329</v>
      </c>
      <c r="AB54" s="58"/>
      <c r="AC54" s="58"/>
      <c r="AE54" s="59"/>
    </row>
    <row r="55" spans="3:31" s="1" customFormat="1" ht="12.75" hidden="1" customHeight="1" x14ac:dyDescent="0.2">
      <c r="C55" s="101"/>
      <c r="D55" s="101"/>
      <c r="E55" s="101"/>
      <c r="F55" s="102"/>
      <c r="G55" s="103"/>
      <c r="H55" s="101"/>
      <c r="I55" s="101"/>
      <c r="J55" s="102"/>
      <c r="K55" s="101"/>
      <c r="L55" s="101"/>
      <c r="M55" s="101"/>
      <c r="U55" s="1" t="e">
        <v>#REF!</v>
      </c>
      <c r="V55" s="3" t="e">
        <f>+J55-U55</f>
        <v>#REF!</v>
      </c>
      <c r="AA55" s="58">
        <v>0</v>
      </c>
      <c r="AB55" s="58"/>
      <c r="AC55" s="58"/>
      <c r="AE55" s="59"/>
    </row>
    <row r="56" spans="3:31" x14ac:dyDescent="0.2">
      <c r="C56" s="37" t="s">
        <v>95</v>
      </c>
      <c r="D56" s="38"/>
      <c r="E56" s="104"/>
      <c r="F56" s="51"/>
      <c r="G56" s="41"/>
      <c r="H56" s="49"/>
      <c r="I56" s="42"/>
      <c r="J56" s="52"/>
      <c r="K56" s="43"/>
      <c r="L56" s="43"/>
      <c r="M56" s="43"/>
      <c r="N56" s="53"/>
      <c r="O56" s="53"/>
      <c r="P56" s="53"/>
      <c r="Q56" s="54"/>
      <c r="R56" s="46"/>
      <c r="S56" s="46"/>
      <c r="T56" s="44"/>
      <c r="V56" s="3"/>
      <c r="AA56" s="58">
        <v>0</v>
      </c>
      <c r="AB56" s="58"/>
      <c r="AC56" s="58"/>
      <c r="AE56" s="59"/>
    </row>
    <row r="57" spans="3:31" ht="14.25" x14ac:dyDescent="0.2">
      <c r="C57" s="49" t="s">
        <v>96</v>
      </c>
      <c r="D57" s="38" t="s">
        <v>30</v>
      </c>
      <c r="E57" s="105" t="s">
        <v>97</v>
      </c>
      <c r="F57" s="51">
        <v>20918.389390615266</v>
      </c>
      <c r="G57" s="41">
        <v>49293</v>
      </c>
      <c r="H57" s="42">
        <v>0</v>
      </c>
      <c r="I57" s="42">
        <f>IF(D57="COP",H57,H57*$D$87/1000)</f>
        <v>0</v>
      </c>
      <c r="J57" s="52">
        <f>((F57*$D$87)/1000)</f>
        <v>87521.076923076937</v>
      </c>
      <c r="K57" s="43">
        <v>5.1287671232876768</v>
      </c>
      <c r="L57" s="43">
        <v>0.37534246575342467</v>
      </c>
      <c r="M57" s="43">
        <v>0.36286827855450576</v>
      </c>
      <c r="N57" s="53">
        <f>(J57)/(J59)</f>
        <v>0.18113711830416251</v>
      </c>
      <c r="O57" s="53">
        <f>J57/$J$86</f>
        <v>8.0774917106262428E-3</v>
      </c>
      <c r="P57" s="53">
        <f>(J57)/($J$65)</f>
        <v>8.1796930398836763E-3</v>
      </c>
      <c r="Q57" s="54" t="s">
        <v>51</v>
      </c>
      <c r="R57" s="46" t="s">
        <v>36</v>
      </c>
      <c r="S57" s="55">
        <f>+J57</f>
        <v>87521.076923076937</v>
      </c>
      <c r="T57" s="44">
        <f>S57/$X$11</f>
        <v>1.9845425830313443E-2</v>
      </c>
      <c r="U57" s="1" t="e">
        <v>#REF!</v>
      </c>
      <c r="V57" s="3" t="e">
        <f t="shared" si="8"/>
        <v>#REF!</v>
      </c>
      <c r="AA57" s="58">
        <v>-0.33698630136986019</v>
      </c>
      <c r="AB57" s="58"/>
      <c r="AC57" s="58"/>
      <c r="AE57" s="59"/>
    </row>
    <row r="58" spans="3:31" ht="14.25" x14ac:dyDescent="0.2">
      <c r="C58" s="49" t="s">
        <v>98</v>
      </c>
      <c r="D58" s="38" t="s">
        <v>30</v>
      </c>
      <c r="E58" s="106" t="s">
        <v>99</v>
      </c>
      <c r="F58" s="51">
        <v>94565.336896171779</v>
      </c>
      <c r="G58" s="41">
        <v>49293</v>
      </c>
      <c r="H58" s="42"/>
      <c r="I58" s="42"/>
      <c r="J58" s="52">
        <f>((F58*$D$87)/1000)</f>
        <v>395654.75</v>
      </c>
      <c r="K58" s="43">
        <v>5.1239469668047271</v>
      </c>
      <c r="L58" s="43">
        <v>0.37260273972602742</v>
      </c>
      <c r="M58" s="43">
        <v>0.35845916065562794</v>
      </c>
      <c r="N58" s="53">
        <f>(J58)/(J59)</f>
        <v>0.81886288169583754</v>
      </c>
      <c r="O58" s="53">
        <f>J58/$J$86</f>
        <v>3.6515752270779328E-2</v>
      </c>
      <c r="P58" s="53">
        <f>(J58)/($J$65)</f>
        <v>3.6977771738530583E-2</v>
      </c>
      <c r="Q58" s="54" t="s">
        <v>51</v>
      </c>
      <c r="R58" s="46" t="s">
        <v>36</v>
      </c>
      <c r="S58" s="55">
        <f>+J58</f>
        <v>395654.75</v>
      </c>
      <c r="T58" s="44">
        <f>S58/$X$11</f>
        <v>8.9714812380991896E-2</v>
      </c>
      <c r="U58" s="1" t="e">
        <v>#REF!</v>
      </c>
      <c r="V58" s="3" t="e">
        <f t="shared" si="8"/>
        <v>#REF!</v>
      </c>
      <c r="AA58" s="58">
        <v>-0.33698630136986019</v>
      </c>
      <c r="AB58" s="58"/>
      <c r="AC58" s="58"/>
      <c r="AE58" s="59"/>
    </row>
    <row r="59" spans="3:31" x14ac:dyDescent="0.2">
      <c r="C59" s="67" t="s">
        <v>100</v>
      </c>
      <c r="D59" s="68"/>
      <c r="E59" s="99"/>
      <c r="F59" s="107">
        <f>SUM(F56:F58)</f>
        <v>115483.72628678704</v>
      </c>
      <c r="G59" s="71"/>
      <c r="H59" s="72">
        <f>SUM(H54:H56)</f>
        <v>0</v>
      </c>
      <c r="I59" s="72">
        <f>SUM(I54:I56)</f>
        <v>0</v>
      </c>
      <c r="J59" s="95">
        <f>SUM(J57:J58)</f>
        <v>483175.82692307694</v>
      </c>
      <c r="K59" s="74">
        <f>SUMPRODUCT(K57:K58,$N$57:$N$58)</f>
        <v>5.1248200760598248</v>
      </c>
      <c r="L59" s="74">
        <f>SUMPRODUCT(L57:L58,$N$57:$N$58)</f>
        <v>0.37309900580357308</v>
      </c>
      <c r="M59" s="74">
        <f>SUMPRODUCT(M57:M58,$N$57:$N$58)</f>
        <v>0.35925781556609399</v>
      </c>
      <c r="N59" s="75">
        <f>SUM(N57:N58)</f>
        <v>1</v>
      </c>
      <c r="O59" s="75">
        <f>SUM(O57:O58)</f>
        <v>4.4593243981405573E-2</v>
      </c>
      <c r="P59" s="75">
        <f>SUM(P57:P58)</f>
        <v>4.5157464778414258E-2</v>
      </c>
      <c r="Q59" s="76"/>
      <c r="R59" s="77"/>
      <c r="S59" s="78">
        <f>SUM(S57:S58)</f>
        <v>483175.82692307694</v>
      </c>
      <c r="T59" s="79"/>
      <c r="U59" s="1" t="e">
        <v>#REF!</v>
      </c>
      <c r="V59" s="3" t="e">
        <f t="shared" si="8"/>
        <v>#REF!</v>
      </c>
      <c r="AA59" s="58">
        <v>-0.33698630136986019</v>
      </c>
      <c r="AB59" s="58"/>
      <c r="AC59" s="58"/>
      <c r="AE59" s="59"/>
    </row>
    <row r="60" spans="3:31" x14ac:dyDescent="0.2">
      <c r="C60" s="108" t="s">
        <v>101</v>
      </c>
      <c r="D60" s="109"/>
      <c r="E60" s="110"/>
      <c r="F60" s="111"/>
      <c r="G60" s="112"/>
      <c r="H60" s="113"/>
      <c r="I60" s="113"/>
      <c r="J60" s="114"/>
      <c r="K60" s="115"/>
      <c r="L60" s="115"/>
      <c r="M60" s="115"/>
      <c r="N60" s="116"/>
      <c r="O60" s="116"/>
      <c r="P60" s="116"/>
      <c r="Q60" s="117"/>
      <c r="R60" s="118"/>
      <c r="S60" s="119"/>
      <c r="T60" s="120"/>
      <c r="V60" s="3"/>
      <c r="AA60" s="58">
        <v>0</v>
      </c>
      <c r="AB60" s="58"/>
      <c r="AC60" s="58"/>
      <c r="AE60" s="59"/>
    </row>
    <row r="61" spans="3:31" ht="14.25" x14ac:dyDescent="0.2">
      <c r="C61" s="49" t="s">
        <v>102</v>
      </c>
      <c r="D61" s="38" t="s">
        <v>30</v>
      </c>
      <c r="E61" s="121" t="s">
        <v>103</v>
      </c>
      <c r="F61" s="51">
        <v>215800</v>
      </c>
      <c r="G61" s="41">
        <v>49633</v>
      </c>
      <c r="H61" s="122">
        <v>0</v>
      </c>
      <c r="I61" s="122">
        <v>0</v>
      </c>
      <c r="J61" s="52">
        <f>F61</f>
        <v>215800</v>
      </c>
      <c r="K61" s="43">
        <v>6.4302130898021304</v>
      </c>
      <c r="L61" s="43">
        <v>5.4794520547945202E-2</v>
      </c>
      <c r="M61" s="43">
        <v>4.9074847116515344E-2</v>
      </c>
      <c r="N61" s="123">
        <f>J61/$J$64</f>
        <v>0.33384900990099009</v>
      </c>
      <c r="O61" s="44">
        <f>J61/$J$86</f>
        <v>1.9916604918895017E-2</v>
      </c>
      <c r="P61" s="75">
        <f>J61/J86</f>
        <v>1.9916604918895017E-2</v>
      </c>
      <c r="Q61" s="54" t="s">
        <v>51</v>
      </c>
      <c r="R61" s="77" t="s">
        <v>61</v>
      </c>
      <c r="S61" s="78">
        <f>J61</f>
        <v>215800</v>
      </c>
      <c r="T61" s="79"/>
      <c r="V61" s="3"/>
      <c r="AA61" s="58">
        <v>-0.33972602739726199</v>
      </c>
      <c r="AB61" s="58"/>
      <c r="AC61" s="58"/>
      <c r="AE61" s="59"/>
    </row>
    <row r="62" spans="3:31" ht="14.25" x14ac:dyDescent="0.2">
      <c r="C62" s="49" t="s">
        <v>104</v>
      </c>
      <c r="D62" s="38" t="s">
        <v>30</v>
      </c>
      <c r="E62" s="121" t="s">
        <v>105</v>
      </c>
      <c r="F62" s="51">
        <v>216150</v>
      </c>
      <c r="G62" s="41">
        <v>49633</v>
      </c>
      <c r="H62" s="122">
        <v>0</v>
      </c>
      <c r="I62" s="122">
        <v>0</v>
      </c>
      <c r="J62" s="52">
        <f>F62</f>
        <v>216150</v>
      </c>
      <c r="K62" s="43">
        <v>6.4302130898021312</v>
      </c>
      <c r="L62" s="43">
        <v>5.4794520547945202E-2</v>
      </c>
      <c r="M62" s="43">
        <v>4.907924273182427E-2</v>
      </c>
      <c r="N62" s="123">
        <f>J62/$J$64</f>
        <v>0.33439047029702973</v>
      </c>
      <c r="O62" s="44">
        <f>J62/$J$86</f>
        <v>1.9948907104815377E-2</v>
      </c>
      <c r="P62" s="75">
        <f>J62/$J$86</f>
        <v>1.9948907104815377E-2</v>
      </c>
      <c r="Q62" s="54" t="s">
        <v>51</v>
      </c>
      <c r="R62" s="77" t="s">
        <v>61</v>
      </c>
      <c r="S62" s="78">
        <f>J62</f>
        <v>216150</v>
      </c>
      <c r="T62" s="79"/>
      <c r="V62" s="3"/>
      <c r="AA62" s="58">
        <v>-0.33972602739725843</v>
      </c>
      <c r="AB62" s="58"/>
      <c r="AC62" s="58"/>
      <c r="AE62" s="59"/>
    </row>
    <row r="63" spans="3:31" ht="14.25" x14ac:dyDescent="0.2">
      <c r="C63" s="49" t="s">
        <v>106</v>
      </c>
      <c r="D63" s="38" t="s">
        <v>30</v>
      </c>
      <c r="E63" s="121" t="s">
        <v>107</v>
      </c>
      <c r="F63" s="51">
        <v>214450</v>
      </c>
      <c r="G63" s="41">
        <v>49633</v>
      </c>
      <c r="H63" s="122">
        <v>0</v>
      </c>
      <c r="I63" s="122">
        <v>0</v>
      </c>
      <c r="J63" s="52">
        <f>F63</f>
        <v>214450</v>
      </c>
      <c r="K63" s="43">
        <v>6.4302130898021304</v>
      </c>
      <c r="L63" s="43">
        <v>5.4794520547945202E-2</v>
      </c>
      <c r="M63" s="43">
        <v>4.9123242232233806E-2</v>
      </c>
      <c r="N63" s="123">
        <f>J63/$J$64</f>
        <v>0.33176051980198018</v>
      </c>
      <c r="O63" s="44">
        <f>J63/$J$86</f>
        <v>1.9792010773202209E-2</v>
      </c>
      <c r="P63" s="75">
        <f>J63/$J$86</f>
        <v>1.9792010773202209E-2</v>
      </c>
      <c r="Q63" s="54" t="s">
        <v>51</v>
      </c>
      <c r="R63" s="77" t="s">
        <v>61</v>
      </c>
      <c r="S63" s="78">
        <f>J63</f>
        <v>214450</v>
      </c>
      <c r="T63" s="79"/>
      <c r="V63" s="3"/>
      <c r="AA63" s="58">
        <v>-0.33972602739726021</v>
      </c>
      <c r="AB63" s="58"/>
      <c r="AC63" s="58"/>
      <c r="AE63" s="59"/>
    </row>
    <row r="64" spans="3:31" x14ac:dyDescent="0.2">
      <c r="C64" s="67" t="s">
        <v>108</v>
      </c>
      <c r="D64" s="68"/>
      <c r="E64" s="99"/>
      <c r="F64" s="73">
        <f>SUM(F61:F63)</f>
        <v>646400</v>
      </c>
      <c r="G64" s="71"/>
      <c r="H64" s="72"/>
      <c r="I64" s="72"/>
      <c r="J64" s="73">
        <f>SUM(J61:J63)</f>
        <v>646400</v>
      </c>
      <c r="K64" s="74">
        <f>SUMPRODUCT(K61:K63,N61:N63)</f>
        <v>6.4302130898021304</v>
      </c>
      <c r="L64" s="74">
        <f>SUMPRODUCT(L61:L63,N61:N63)</f>
        <v>5.4794520547945202E-2</v>
      </c>
      <c r="M64" s="74">
        <f>SUMPRODUCT(M61:M63,N61:N63)</f>
        <v>4.9092372557132377E-2</v>
      </c>
      <c r="N64" s="123">
        <f>J64/$J$64</f>
        <v>1</v>
      </c>
      <c r="O64" s="75">
        <f>SUM(O61:O63)</f>
        <v>5.9657522796912603E-2</v>
      </c>
      <c r="P64" s="75">
        <f>SUM(P61:P62)</f>
        <v>3.9865512023710394E-2</v>
      </c>
      <c r="Q64" s="76"/>
      <c r="R64" s="77"/>
      <c r="S64" s="78"/>
      <c r="T64" s="79"/>
      <c r="V64" s="3"/>
      <c r="AA64" s="58">
        <v>-0.33972602739725932</v>
      </c>
      <c r="AB64" s="58"/>
      <c r="AC64" s="58"/>
      <c r="AE64" s="59"/>
    </row>
    <row r="65" spans="3:31" x14ac:dyDescent="0.2">
      <c r="C65" s="124" t="s">
        <v>109</v>
      </c>
      <c r="D65" s="125"/>
      <c r="E65" s="126"/>
      <c r="F65" s="127"/>
      <c r="G65" s="128"/>
      <c r="H65" s="129">
        <f>H59+H51+H26</f>
        <v>0</v>
      </c>
      <c r="I65" s="129">
        <f>I59+I51+I26</f>
        <v>0</v>
      </c>
      <c r="J65" s="130">
        <f>J59+J51+J54+J26+J64</f>
        <v>10699799.674184544</v>
      </c>
      <c r="K65" s="131">
        <f>K26*$P$26+K51*$P$51+K54*$P$54+K59*$P$59+K64*O64</f>
        <v>8.2428886997513118</v>
      </c>
      <c r="L65" s="131">
        <f>L26*$P$26+L51*$P$51+L54*$P$54+L59*$P$59+L64*O64</f>
        <v>3.5371388566806989</v>
      </c>
      <c r="M65" s="131">
        <f>M26*$P$26+M51*$P$51+M54*$P$54+M59*$P$59+M64*O64</f>
        <v>3.3952175694564812</v>
      </c>
      <c r="N65" s="132">
        <f>N62+N61+N63</f>
        <v>1</v>
      </c>
      <c r="O65" s="133">
        <f>O59+O51+O54+O26+O64</f>
        <v>0.98750548110312864</v>
      </c>
      <c r="P65" s="133">
        <f>P59+P51+P54+P26</f>
        <v>0.93958765400444144</v>
      </c>
      <c r="Q65" s="134"/>
      <c r="R65" s="135"/>
      <c r="S65" s="135"/>
      <c r="T65" s="136"/>
      <c r="U65" s="1" t="e">
        <v>#REF!</v>
      </c>
      <c r="V65" s="3"/>
      <c r="AA65" s="58">
        <v>-1.684768167411832E-2</v>
      </c>
      <c r="AB65" s="58"/>
      <c r="AC65" s="58"/>
      <c r="AE65" s="59"/>
    </row>
    <row r="66" spans="3:31" hidden="1" x14ac:dyDescent="0.2">
      <c r="C66" s="137"/>
      <c r="D66" s="34"/>
      <c r="E66" s="138"/>
      <c r="F66" s="139"/>
      <c r="G66" s="140"/>
      <c r="H66" s="141"/>
      <c r="I66" s="142"/>
      <c r="J66" s="143"/>
      <c r="K66" s="144"/>
      <c r="L66" s="144"/>
      <c r="M66" s="144"/>
      <c r="N66" s="145"/>
      <c r="O66" s="145"/>
      <c r="P66" s="145"/>
      <c r="Q66" s="146"/>
      <c r="R66" s="147"/>
      <c r="S66" s="147"/>
      <c r="T66" s="32"/>
      <c r="U66" s="1" t="e">
        <v>#REF!</v>
      </c>
      <c r="V66" s="3"/>
      <c r="AA66" s="58">
        <v>0</v>
      </c>
      <c r="AB66" s="58"/>
      <c r="AC66" s="58"/>
      <c r="AE66" s="59"/>
    </row>
    <row r="67" spans="3:31" hidden="1" x14ac:dyDescent="0.2">
      <c r="C67" s="148"/>
      <c r="D67" s="46"/>
      <c r="E67" s="149"/>
      <c r="F67" s="150"/>
      <c r="G67" s="151"/>
      <c r="H67" s="152"/>
      <c r="I67" s="153"/>
      <c r="J67" s="154"/>
      <c r="K67" s="155"/>
      <c r="L67" s="155"/>
      <c r="M67" s="155"/>
      <c r="N67" s="156"/>
      <c r="O67" s="156"/>
      <c r="P67" s="156"/>
      <c r="Q67" s="157"/>
      <c r="R67" s="158"/>
      <c r="S67" s="158"/>
      <c r="T67" s="44"/>
      <c r="U67" s="1" t="e">
        <v>#REF!</v>
      </c>
      <c r="V67" s="3"/>
      <c r="AA67" s="58">
        <v>0</v>
      </c>
      <c r="AB67" s="58"/>
      <c r="AC67" s="58"/>
      <c r="AE67" s="59"/>
    </row>
    <row r="68" spans="3:31" hidden="1" x14ac:dyDescent="0.2">
      <c r="C68" s="159"/>
      <c r="D68" s="160"/>
      <c r="E68" s="161"/>
      <c r="F68" s="162"/>
      <c r="G68" s="163"/>
      <c r="H68" s="164"/>
      <c r="I68" s="164"/>
      <c r="J68" s="165"/>
      <c r="K68" s="166"/>
      <c r="L68" s="166"/>
      <c r="M68" s="166"/>
      <c r="N68" s="167"/>
      <c r="O68" s="167"/>
      <c r="P68" s="167"/>
      <c r="Q68" s="168"/>
      <c r="R68" s="169"/>
      <c r="S68" s="169"/>
      <c r="T68" s="79"/>
      <c r="U68" s="1" t="e">
        <v>#REF!</v>
      </c>
      <c r="V68" s="3"/>
      <c r="AA68" s="58">
        <v>0</v>
      </c>
      <c r="AB68" s="58"/>
      <c r="AC68" s="58"/>
      <c r="AE68" s="59"/>
    </row>
    <row r="69" spans="3:31" x14ac:dyDescent="0.2">
      <c r="C69" s="37" t="s">
        <v>110</v>
      </c>
      <c r="D69" s="38"/>
      <c r="E69" s="97"/>
      <c r="F69" s="63"/>
      <c r="G69" s="41"/>
      <c r="H69" s="42"/>
      <c r="I69" s="42"/>
      <c r="J69" s="64"/>
      <c r="K69" s="43"/>
      <c r="L69" s="43"/>
      <c r="M69" s="43"/>
      <c r="N69" s="53"/>
      <c r="O69" s="53"/>
      <c r="P69" s="53"/>
      <c r="Q69" s="53"/>
      <c r="R69" s="46"/>
      <c r="S69" s="46"/>
      <c r="T69" s="44"/>
      <c r="V69" s="3"/>
      <c r="AA69" s="58">
        <v>0</v>
      </c>
      <c r="AB69" s="58"/>
      <c r="AC69" s="58"/>
      <c r="AE69" s="59"/>
    </row>
    <row r="70" spans="3:31" x14ac:dyDescent="0.2">
      <c r="C70" s="49" t="s">
        <v>111</v>
      </c>
      <c r="D70" s="38" t="s">
        <v>112</v>
      </c>
      <c r="E70" s="50" t="s">
        <v>113</v>
      </c>
      <c r="F70" s="60">
        <v>2000</v>
      </c>
      <c r="G70" s="41">
        <v>45834</v>
      </c>
      <c r="H70" s="170">
        <v>0</v>
      </c>
      <c r="I70" s="42">
        <f>IF(D70="COP",H70,H70*$D$87/1000)</f>
        <v>0</v>
      </c>
      <c r="J70" s="52">
        <f>IF(D70="COP",F70,F70*$D$87/1000)</f>
        <v>8367.86</v>
      </c>
      <c r="K70" s="171">
        <v>0.4</v>
      </c>
      <c r="L70" s="171">
        <v>0.4</v>
      </c>
      <c r="M70" s="171">
        <v>0.37838609438670856</v>
      </c>
      <c r="N70" s="53">
        <f>(J70)/($J$75)</f>
        <v>7.0317821946671452E-2</v>
      </c>
      <c r="O70" s="53">
        <f>J70/$J$86</f>
        <v>7.7228619850150545E-4</v>
      </c>
      <c r="P70" s="53">
        <f>(J70)/($J$81)</f>
        <v>6.5514369000073097E-2</v>
      </c>
      <c r="Q70" s="53" t="s">
        <v>114</v>
      </c>
      <c r="R70" s="46" t="s">
        <v>115</v>
      </c>
      <c r="S70" s="55">
        <f t="shared" ref="S70:S75" si="12">+J70</f>
        <v>8367.86</v>
      </c>
      <c r="T70" s="44">
        <f>S70/$X$12</f>
        <v>1.3023822462173793E-3</v>
      </c>
      <c r="U70" s="1" t="e">
        <v>#REF!</v>
      </c>
      <c r="V70" s="3" t="e">
        <f t="shared" si="8"/>
        <v>#REF!</v>
      </c>
      <c r="AA70" s="58">
        <v>-0.33698630136986296</v>
      </c>
      <c r="AB70" s="58"/>
      <c r="AC70" s="58"/>
      <c r="AE70" s="59"/>
    </row>
    <row r="71" spans="3:31" x14ac:dyDescent="0.2">
      <c r="C71" s="49" t="s">
        <v>116</v>
      </c>
      <c r="D71" s="38" t="s">
        <v>112</v>
      </c>
      <c r="E71" s="50" t="s">
        <v>117</v>
      </c>
      <c r="F71" s="60">
        <v>4400</v>
      </c>
      <c r="G71" s="41">
        <v>46018</v>
      </c>
      <c r="H71" s="42">
        <v>0</v>
      </c>
      <c r="I71" s="42">
        <f>IF(D71="COP",H71,H71*$D$87/1000)</f>
        <v>0</v>
      </c>
      <c r="J71" s="52">
        <f>IF(D71="COP",F71,F71*$D$87/1000)</f>
        <v>18409.292000000001</v>
      </c>
      <c r="K71" s="43">
        <v>0.6534246575342465</v>
      </c>
      <c r="L71" s="43">
        <v>0.40273972602739727</v>
      </c>
      <c r="M71" s="43">
        <v>0.38133851294107718</v>
      </c>
      <c r="N71" s="53">
        <f>(J71)/($J$75)</f>
        <v>0.15469920828267719</v>
      </c>
      <c r="O71" s="53">
        <f>J71/$J$86</f>
        <v>1.6990296367033119E-3</v>
      </c>
      <c r="P71" s="53">
        <f>(J71)/($J$81)</f>
        <v>0.14413161180016082</v>
      </c>
      <c r="Q71" s="53" t="s">
        <v>114</v>
      </c>
      <c r="R71" s="46" t="s">
        <v>115</v>
      </c>
      <c r="S71" s="55">
        <f t="shared" si="12"/>
        <v>18409.292000000001</v>
      </c>
      <c r="T71" s="44">
        <f>S71/$X$12</f>
        <v>2.8652409416782343E-3</v>
      </c>
      <c r="U71" s="1" t="e">
        <v>#REF!</v>
      </c>
      <c r="V71" s="3" t="e">
        <f t="shared" si="8"/>
        <v>#REF!</v>
      </c>
      <c r="AA71" s="58">
        <v>-0.33698630136986307</v>
      </c>
      <c r="AB71" s="58"/>
      <c r="AC71" s="58"/>
      <c r="AE71" s="59"/>
    </row>
    <row r="72" spans="3:31" x14ac:dyDescent="0.2">
      <c r="C72" s="49" t="s">
        <v>118</v>
      </c>
      <c r="D72" s="38" t="s">
        <v>112</v>
      </c>
      <c r="E72" s="50" t="s">
        <v>119</v>
      </c>
      <c r="F72" s="60">
        <v>1500</v>
      </c>
      <c r="G72" s="41">
        <v>45823</v>
      </c>
      <c r="H72" s="42">
        <v>0</v>
      </c>
      <c r="I72" s="42">
        <f>IF(D72="COP",H72,H72*$D$87/1000)</f>
        <v>0</v>
      </c>
      <c r="J72" s="52">
        <f>IF(D72="COP",F72,F72*$D$87/1000)</f>
        <v>6275.8950000000004</v>
      </c>
      <c r="K72" s="43">
        <v>0.36986301369863006</v>
      </c>
      <c r="L72" s="43">
        <v>0.36986301369863012</v>
      </c>
      <c r="M72" s="43">
        <v>0.34993892600169046</v>
      </c>
      <c r="N72" s="53">
        <f>(J72)/($J$75)</f>
        <v>5.2738366460003586E-2</v>
      </c>
      <c r="O72" s="53">
        <f>J72/$J$86</f>
        <v>5.7921464887612914E-4</v>
      </c>
      <c r="P72" s="53">
        <f>(J72)/($J$81)</f>
        <v>4.9135776750054823E-2</v>
      </c>
      <c r="Q72" s="53" t="s">
        <v>114</v>
      </c>
      <c r="R72" s="46" t="s">
        <v>115</v>
      </c>
      <c r="S72" s="55">
        <f t="shared" si="12"/>
        <v>6275.8950000000004</v>
      </c>
      <c r="T72" s="44">
        <f>S72/$X$12</f>
        <v>9.7678668466303449E-4</v>
      </c>
      <c r="U72" s="1" t="e">
        <v>#REF!</v>
      </c>
      <c r="V72" s="3" t="e">
        <f t="shared" si="8"/>
        <v>#REF!</v>
      </c>
      <c r="AA72" s="58">
        <v>-0.33698630136986296</v>
      </c>
      <c r="AB72" s="58"/>
      <c r="AC72" s="58"/>
      <c r="AE72" s="59"/>
    </row>
    <row r="73" spans="3:31" x14ac:dyDescent="0.2">
      <c r="C73" s="49" t="s">
        <v>120</v>
      </c>
      <c r="D73" s="38" t="s">
        <v>112</v>
      </c>
      <c r="E73" s="50" t="s">
        <v>121</v>
      </c>
      <c r="F73" s="60">
        <v>8597.7966800000177</v>
      </c>
      <c r="G73" s="41">
        <v>48197</v>
      </c>
      <c r="H73" s="170">
        <v>0</v>
      </c>
      <c r="I73" s="42">
        <f>IF(D73="COP",H73,H73*$D$87/1000)</f>
        <v>0</v>
      </c>
      <c r="J73" s="52">
        <f>IF(D73="COP",F73,F73*$D$87/1000)</f>
        <v>35972.579463352478</v>
      </c>
      <c r="K73" s="43">
        <v>3.6221134726778157</v>
      </c>
      <c r="L73" s="43">
        <v>0.36986301369863012</v>
      </c>
      <c r="M73" s="43">
        <v>0.35363133540360464</v>
      </c>
      <c r="N73" s="53">
        <f>(J73)/($J$75)</f>
        <v>0.30228916803896211</v>
      </c>
      <c r="O73" s="53">
        <f>J73/$J$86</f>
        <v>3.3199798567430392E-3</v>
      </c>
      <c r="P73" s="53">
        <f>(J73)/($J$81)</f>
        <v>0.28163961214056227</v>
      </c>
      <c r="Q73" s="53" t="s">
        <v>114</v>
      </c>
      <c r="R73" s="46" t="s">
        <v>36</v>
      </c>
      <c r="S73" s="55">
        <f t="shared" si="12"/>
        <v>35972.579463352478</v>
      </c>
      <c r="T73" s="44">
        <f>S73/$X$11</f>
        <v>8.1567912868858259E-3</v>
      </c>
      <c r="U73" s="1" t="e">
        <v>#REF!</v>
      </c>
      <c r="V73" s="3" t="e">
        <f t="shared" si="8"/>
        <v>#REF!</v>
      </c>
      <c r="AA73" s="58">
        <v>-0.33698630136986285</v>
      </c>
      <c r="AB73" s="58"/>
      <c r="AC73" s="58"/>
      <c r="AE73" s="59"/>
    </row>
    <row r="74" spans="3:31" x14ac:dyDescent="0.2">
      <c r="C74" s="49" t="s">
        <v>122</v>
      </c>
      <c r="D74" s="38" t="s">
        <v>112</v>
      </c>
      <c r="E74" s="172" t="s">
        <v>123</v>
      </c>
      <c r="F74" s="60">
        <v>11944.494969999978</v>
      </c>
      <c r="G74" s="41">
        <v>48197</v>
      </c>
      <c r="H74" s="42">
        <v>0</v>
      </c>
      <c r="I74" s="42">
        <f>IF(D74="COP",H74,H74*$D$87/1000)</f>
        <v>0</v>
      </c>
      <c r="J74" s="52">
        <f>IF(D74="COP",F74,F74*$D$87/1000)</f>
        <v>49974.930839832006</v>
      </c>
      <c r="K74" s="43">
        <v>3.6221134729882003</v>
      </c>
      <c r="L74" s="43">
        <v>0.36986301369863012</v>
      </c>
      <c r="M74" s="43">
        <v>0.36601980573837717</v>
      </c>
      <c r="N74" s="53">
        <f>(J74)/($J$75)</f>
        <v>0.41995543527168555</v>
      </c>
      <c r="O74" s="53">
        <f>J74/$J$86</f>
        <v>4.6122843067008179E-3</v>
      </c>
      <c r="P74" s="53">
        <f>(J74)/($J$81)</f>
        <v>0.39126802549204776</v>
      </c>
      <c r="Q74" s="53" t="s">
        <v>114</v>
      </c>
      <c r="R74" s="46" t="s">
        <v>124</v>
      </c>
      <c r="S74" s="55">
        <f t="shared" si="12"/>
        <v>49974.930839832006</v>
      </c>
      <c r="T74" s="44">
        <f>S74/$X$12</f>
        <v>7.7781490944803782E-3</v>
      </c>
      <c r="U74" s="1" t="e">
        <v>#REF!</v>
      </c>
      <c r="V74" s="3" t="e">
        <f t="shared" si="8"/>
        <v>#REF!</v>
      </c>
      <c r="AA74" s="58">
        <v>-0.33698630136986418</v>
      </c>
      <c r="AB74" s="58"/>
      <c r="AC74" s="58"/>
      <c r="AE74" s="59"/>
    </row>
    <row r="75" spans="3:31" x14ac:dyDescent="0.2">
      <c r="C75" s="67" t="s">
        <v>125</v>
      </c>
      <c r="D75" s="68"/>
      <c r="E75" s="69"/>
      <c r="F75" s="173">
        <f>SUM(F70:F74)</f>
        <v>28442.291649999996</v>
      </c>
      <c r="G75" s="71"/>
      <c r="H75" s="174">
        <f>SUM(H70:H74)</f>
        <v>0</v>
      </c>
      <c r="I75" s="174">
        <f>SUM(I70:I74)</f>
        <v>0</v>
      </c>
      <c r="J75" s="175">
        <f>SUM(J70:J74)</f>
        <v>119000.5573031845</v>
      </c>
      <c r="K75" s="74">
        <f>SUMPRODUCT(K70:K74,$N$70:$N$74)</f>
        <v>2.7647692854787249</v>
      </c>
      <c r="L75" s="74">
        <f>SUMPRODUCT(L70:L74,$N$70:$N$74)</f>
        <v>0.37706818230357669</v>
      </c>
      <c r="M75" s="74">
        <f>SUMPRODUCT(M70:M74,$N$70:$N$74)</f>
        <v>0.36466618837853709</v>
      </c>
      <c r="N75" s="75">
        <f>SUM(N70:N74)</f>
        <v>0.99999999999999989</v>
      </c>
      <c r="O75" s="75">
        <f>SUM(O70:O74)</f>
        <v>1.0982794647524805E-2</v>
      </c>
      <c r="P75" s="75">
        <f>SUM(P70:P74)</f>
        <v>0.93168939518289884</v>
      </c>
      <c r="Q75" s="176"/>
      <c r="R75" s="77"/>
      <c r="S75" s="78">
        <f t="shared" si="12"/>
        <v>119000.5573031845</v>
      </c>
      <c r="T75" s="79"/>
      <c r="U75" s="1" t="e">
        <v>#REF!</v>
      </c>
      <c r="V75" s="3"/>
      <c r="AA75" s="58">
        <v>-0.33698630136986329</v>
      </c>
      <c r="AB75" s="58"/>
      <c r="AC75" s="58"/>
      <c r="AE75" s="59"/>
    </row>
    <row r="76" spans="3:31" x14ac:dyDescent="0.2">
      <c r="C76" s="37" t="s">
        <v>126</v>
      </c>
      <c r="D76" s="38"/>
      <c r="E76" s="39"/>
      <c r="F76" s="63"/>
      <c r="G76" s="41"/>
      <c r="H76" s="42"/>
      <c r="I76" s="42"/>
      <c r="J76" s="64"/>
      <c r="K76" s="43"/>
      <c r="L76" s="43"/>
      <c r="M76" s="43"/>
      <c r="N76" s="53"/>
      <c r="O76" s="53"/>
      <c r="P76" s="53"/>
      <c r="Q76" s="53"/>
      <c r="R76" s="46"/>
      <c r="S76" s="46"/>
      <c r="T76" s="44"/>
      <c r="V76" s="3"/>
      <c r="AA76" s="58">
        <v>0</v>
      </c>
      <c r="AB76" s="58"/>
      <c r="AC76" s="58"/>
      <c r="AE76" s="59"/>
    </row>
    <row r="77" spans="3:31" x14ac:dyDescent="0.2">
      <c r="C77" s="49" t="s">
        <v>127</v>
      </c>
      <c r="D77" s="38" t="s">
        <v>112</v>
      </c>
      <c r="E77" s="50">
        <v>0.01</v>
      </c>
      <c r="F77" s="60">
        <v>2085.3625200000001</v>
      </c>
      <c r="G77" s="41">
        <v>47173</v>
      </c>
      <c r="H77" s="42">
        <v>0</v>
      </c>
      <c r="I77" s="42">
        <f>IF(D77="COP",H77,H77*$D$87/1000)</f>
        <v>0</v>
      </c>
      <c r="J77" s="52">
        <f>IF(D77="COP",F77,F77*$D$87/1000)</f>
        <v>8725.0108083036012</v>
      </c>
      <c r="K77" s="43">
        <v>2.0645358874469038</v>
      </c>
      <c r="L77" s="43">
        <v>2.0396880190934601</v>
      </c>
      <c r="M77" s="43">
        <v>2.0194930882113464</v>
      </c>
      <c r="N77" s="53">
        <f>(J77)/($J$78)</f>
        <v>1</v>
      </c>
      <c r="O77" s="53">
        <f>J77/$J$86</f>
        <v>8.0524834653415982E-4</v>
      </c>
      <c r="P77" s="53">
        <f>(J77)/($J$81)</f>
        <v>6.8310604817101162E-2</v>
      </c>
      <c r="Q77" s="53" t="s">
        <v>114</v>
      </c>
      <c r="R77" s="46" t="s">
        <v>36</v>
      </c>
      <c r="S77" s="55">
        <f>+J77</f>
        <v>8725.0108083036012</v>
      </c>
      <c r="T77" s="44">
        <f>S77/$X$11</f>
        <v>1.9783983578842011E-3</v>
      </c>
      <c r="U77" s="1" t="e">
        <v>#REF!</v>
      </c>
      <c r="V77" s="3" t="e">
        <f t="shared" si="8"/>
        <v>#REF!</v>
      </c>
      <c r="AA77" s="58">
        <v>-8.6697099226397789E-2</v>
      </c>
      <c r="AB77" s="58"/>
      <c r="AC77" s="58"/>
      <c r="AE77" s="59"/>
    </row>
    <row r="78" spans="3:31" x14ac:dyDescent="0.2">
      <c r="C78" s="67" t="s">
        <v>128</v>
      </c>
      <c r="D78" s="68"/>
      <c r="E78" s="69"/>
      <c r="F78" s="60">
        <f t="shared" ref="F78:P78" si="13">F77</f>
        <v>2085.3625200000001</v>
      </c>
      <c r="G78" s="71"/>
      <c r="H78" s="174">
        <f t="shared" si="13"/>
        <v>0</v>
      </c>
      <c r="I78" s="174">
        <f t="shared" si="13"/>
        <v>0</v>
      </c>
      <c r="J78" s="177">
        <f t="shared" si="13"/>
        <v>8725.0108083036012</v>
      </c>
      <c r="K78" s="178">
        <f>K77</f>
        <v>2.0645358874469038</v>
      </c>
      <c r="L78" s="178">
        <f>L77</f>
        <v>2.0396880190934601</v>
      </c>
      <c r="M78" s="178">
        <f>M77</f>
        <v>2.0194930882113464</v>
      </c>
      <c r="N78" s="79">
        <f t="shared" si="13"/>
        <v>1</v>
      </c>
      <c r="O78" s="79">
        <f t="shared" si="13"/>
        <v>8.0524834653415982E-4</v>
      </c>
      <c r="P78" s="79">
        <f t="shared" si="13"/>
        <v>6.8310604817101162E-2</v>
      </c>
      <c r="Q78" s="179"/>
      <c r="R78" s="77"/>
      <c r="S78" s="55">
        <f>+J78</f>
        <v>8725.0108083036012</v>
      </c>
      <c r="T78" s="79"/>
      <c r="U78" s="1" t="e">
        <v>#REF!</v>
      </c>
      <c r="V78" s="3" t="e">
        <f t="shared" si="8"/>
        <v>#REF!</v>
      </c>
      <c r="AA78" s="58">
        <v>-8.6697099226397789E-2</v>
      </c>
      <c r="AB78" s="58"/>
      <c r="AC78" s="58"/>
      <c r="AE78" s="59"/>
    </row>
    <row r="79" spans="3:31" hidden="1" x14ac:dyDescent="0.2">
      <c r="C79" s="148" t="s">
        <v>55</v>
      </c>
      <c r="D79" s="46"/>
      <c r="E79" s="45"/>
      <c r="F79" s="150"/>
      <c r="G79" s="151"/>
      <c r="H79" s="153"/>
      <c r="I79" s="153"/>
      <c r="J79" s="180"/>
      <c r="K79" s="181"/>
      <c r="L79" s="181"/>
      <c r="M79" s="181"/>
      <c r="N79" s="44"/>
      <c r="O79" s="44"/>
      <c r="P79" s="44"/>
      <c r="Q79" s="44"/>
      <c r="R79" s="46"/>
      <c r="S79" s="55">
        <f>+J79</f>
        <v>0</v>
      </c>
      <c r="T79" s="44"/>
      <c r="U79" s="1" t="e">
        <v>#REF!</v>
      </c>
      <c r="V79" s="3" t="e">
        <f t="shared" si="8"/>
        <v>#REF!</v>
      </c>
      <c r="AA79" s="58">
        <v>0</v>
      </c>
      <c r="AB79" s="58"/>
      <c r="AC79" s="58"/>
      <c r="AE79" s="59"/>
    </row>
    <row r="80" spans="3:31" hidden="1" x14ac:dyDescent="0.2">
      <c r="C80" s="159" t="s">
        <v>91</v>
      </c>
      <c r="D80" s="160"/>
      <c r="E80" s="182"/>
      <c r="F80" s="162">
        <v>0</v>
      </c>
      <c r="G80" s="163"/>
      <c r="H80" s="164">
        <v>0</v>
      </c>
      <c r="I80" s="164">
        <v>0</v>
      </c>
      <c r="J80" s="162">
        <v>0</v>
      </c>
      <c r="K80" s="183">
        <v>0</v>
      </c>
      <c r="L80" s="183">
        <v>0</v>
      </c>
      <c r="M80" s="183">
        <v>0</v>
      </c>
      <c r="N80" s="79">
        <v>0</v>
      </c>
      <c r="O80" s="79">
        <v>0</v>
      </c>
      <c r="P80" s="79">
        <v>0</v>
      </c>
      <c r="Q80" s="179">
        <v>0</v>
      </c>
      <c r="R80" s="77">
        <v>0</v>
      </c>
      <c r="S80" s="184">
        <v>0</v>
      </c>
      <c r="T80" s="79">
        <v>0</v>
      </c>
      <c r="U80" s="1" t="e">
        <v>#REF!</v>
      </c>
      <c r="V80" s="3" t="e">
        <f t="shared" si="8"/>
        <v>#REF!</v>
      </c>
      <c r="AA80" s="58">
        <v>0</v>
      </c>
      <c r="AB80" s="58"/>
      <c r="AC80" s="58"/>
      <c r="AE80" s="59"/>
    </row>
    <row r="81" spans="3:31" x14ac:dyDescent="0.2">
      <c r="C81" s="185" t="s">
        <v>129</v>
      </c>
      <c r="D81" s="186"/>
      <c r="E81" s="187"/>
      <c r="F81" s="188">
        <f>F78+F75</f>
        <v>30527.654169999994</v>
      </c>
      <c r="G81" s="189"/>
      <c r="H81" s="190">
        <f>H80+H78+H75+H68</f>
        <v>0</v>
      </c>
      <c r="I81" s="190">
        <f>I80+I78+I75+I68</f>
        <v>0</v>
      </c>
      <c r="J81" s="191">
        <f>J80+J78+J75+J68</f>
        <v>127725.5681114881</v>
      </c>
      <c r="K81" s="192">
        <f>K68*$P$68+K75*$P$75+K78*$P$78+K80*$P$80</f>
        <v>2.7169359185460369</v>
      </c>
      <c r="L81" s="192">
        <f>L68*$P$68+L75*$P$75+L78*$P$78+L80*$P$80</f>
        <v>0.49064274893560367</v>
      </c>
      <c r="M81" s="192">
        <f>M68*$P$68+M75*$P$75+M78*$P$78+M80*$P$80</f>
        <v>0.47770841477372478</v>
      </c>
      <c r="N81" s="193"/>
      <c r="O81" s="194">
        <f>O80+O78+O75+O68</f>
        <v>1.1788042994058966E-2</v>
      </c>
      <c r="P81" s="194">
        <f>P80+P78+P75+P68</f>
        <v>1</v>
      </c>
      <c r="Q81" s="195"/>
      <c r="R81" s="196"/>
      <c r="S81" s="197"/>
      <c r="T81" s="198"/>
      <c r="V81" s="3">
        <f t="shared" si="8"/>
        <v>127725.5681114881</v>
      </c>
      <c r="AA81" s="58">
        <v>-0.32099370300682084</v>
      </c>
      <c r="AB81" s="58"/>
      <c r="AC81" s="58"/>
      <c r="AE81" s="59"/>
    </row>
    <row r="82" spans="3:31" x14ac:dyDescent="0.2">
      <c r="C82" s="37" t="s">
        <v>130</v>
      </c>
      <c r="D82" s="38"/>
      <c r="E82" s="39"/>
      <c r="F82" s="199"/>
      <c r="G82" s="41"/>
      <c r="H82" s="200"/>
      <c r="I82" s="200"/>
      <c r="J82" s="199"/>
      <c r="K82" s="82"/>
      <c r="L82" s="82"/>
      <c r="M82" s="82"/>
      <c r="N82" s="123"/>
      <c r="O82" s="201"/>
      <c r="P82" s="201"/>
      <c r="Q82" s="123"/>
      <c r="R82" s="202"/>
      <c r="S82" s="202"/>
      <c r="T82" s="201"/>
      <c r="V82" s="3"/>
      <c r="AA82" s="58">
        <v>0</v>
      </c>
      <c r="AB82" s="58"/>
      <c r="AC82" s="58"/>
      <c r="AE82" s="59"/>
    </row>
    <row r="83" spans="3:31" x14ac:dyDescent="0.2">
      <c r="C83" s="49" t="s">
        <v>131</v>
      </c>
      <c r="D83" s="38" t="s">
        <v>132</v>
      </c>
      <c r="E83" s="50">
        <v>0.02</v>
      </c>
      <c r="F83" s="60">
        <v>1760.3869799999982</v>
      </c>
      <c r="G83" s="41">
        <v>50404</v>
      </c>
      <c r="H83" s="170" t="e">
        <v>#REF!</v>
      </c>
      <c r="I83" s="42" t="e">
        <f>IF(D83="COP",H83,H83*D88*$D$87/1000)</f>
        <v>#REF!</v>
      </c>
      <c r="J83" s="52">
        <f>F83*D87*D88/1000</f>
        <v>7654.7935979925851</v>
      </c>
      <c r="K83" s="43">
        <v>2.1205479452054798</v>
      </c>
      <c r="L83" s="43">
        <v>0.243835616438356</v>
      </c>
      <c r="M83" s="43">
        <v>0.22597452502460999</v>
      </c>
      <c r="N83" s="44">
        <f>IFERROR(J83/$J$84,0%)</f>
        <v>1</v>
      </c>
      <c r="O83" s="44">
        <f>J83/$J$86</f>
        <v>7.0647590281235041E-4</v>
      </c>
      <c r="P83" s="44">
        <f>IFERROR(J83/$J$85,0%)</f>
        <v>1</v>
      </c>
      <c r="Q83" s="44" t="s">
        <v>114</v>
      </c>
      <c r="R83" s="46" t="s">
        <v>36</v>
      </c>
      <c r="S83" s="55">
        <f>+J83</f>
        <v>7654.7935979925851</v>
      </c>
      <c r="T83" s="44">
        <f>S83/$X$11</f>
        <v>1.7357263408542996E-3</v>
      </c>
      <c r="U83" s="1" t="e">
        <v>#REF!</v>
      </c>
      <c r="V83" s="3" t="e">
        <f t="shared" si="8"/>
        <v>#REF!</v>
      </c>
      <c r="AA83" s="58">
        <v>-0.33698629768156163</v>
      </c>
      <c r="AB83" s="58"/>
      <c r="AC83" s="58"/>
      <c r="AE83" s="59"/>
    </row>
    <row r="84" spans="3:31" x14ac:dyDescent="0.2">
      <c r="C84" s="67" t="s">
        <v>128</v>
      </c>
      <c r="D84" s="38"/>
      <c r="E84" s="97"/>
      <c r="F84" s="173">
        <f>F83</f>
        <v>1760.3869799999982</v>
      </c>
      <c r="G84" s="41"/>
      <c r="H84" s="200" t="e">
        <f t="shared" ref="H84:O84" si="14">H83</f>
        <v>#REF!</v>
      </c>
      <c r="I84" s="200" t="e">
        <f t="shared" si="14"/>
        <v>#REF!</v>
      </c>
      <c r="J84" s="199">
        <f>J83</f>
        <v>7654.7935979925851</v>
      </c>
      <c r="K84" s="203">
        <f>K83</f>
        <v>2.1205479452054798</v>
      </c>
      <c r="L84" s="203">
        <f>L83</f>
        <v>0.243835616438356</v>
      </c>
      <c r="M84" s="203">
        <f>M83</f>
        <v>0.22597452502460999</v>
      </c>
      <c r="N84" s="84">
        <f t="shared" si="14"/>
        <v>1</v>
      </c>
      <c r="O84" s="84">
        <f t="shared" si="14"/>
        <v>7.0647590281235041E-4</v>
      </c>
      <c r="P84" s="84">
        <f>P83</f>
        <v>1</v>
      </c>
      <c r="Q84" s="44"/>
      <c r="R84" s="46"/>
      <c r="S84" s="204">
        <f>S83</f>
        <v>7654.7935979925851</v>
      </c>
      <c r="T84" s="84"/>
      <c r="U84" s="205"/>
      <c r="AA84" s="58">
        <v>-0.33698629768156163</v>
      </c>
      <c r="AB84" s="58"/>
      <c r="AC84" s="58"/>
    </row>
    <row r="85" spans="3:31" x14ac:dyDescent="0.2">
      <c r="C85" s="185" t="s">
        <v>133</v>
      </c>
      <c r="D85" s="186"/>
      <c r="E85" s="206"/>
      <c r="F85" s="188">
        <f>F84</f>
        <v>1760.3869799999982</v>
      </c>
      <c r="G85" s="189"/>
      <c r="H85" s="190" t="e">
        <f>H84</f>
        <v>#REF!</v>
      </c>
      <c r="I85" s="190" t="e">
        <f>I84</f>
        <v>#REF!</v>
      </c>
      <c r="J85" s="191">
        <f>J83</f>
        <v>7654.7935979925851</v>
      </c>
      <c r="K85" s="192">
        <f>K84*P84</f>
        <v>2.1205479452054798</v>
      </c>
      <c r="L85" s="192">
        <f>L84*P84</f>
        <v>0.243835616438356</v>
      </c>
      <c r="M85" s="192">
        <f>M84*P84</f>
        <v>0.22597452502460999</v>
      </c>
      <c r="N85" s="193"/>
      <c r="O85" s="194">
        <f>O84</f>
        <v>7.0647590281235041E-4</v>
      </c>
      <c r="P85" s="194">
        <f>P84</f>
        <v>1</v>
      </c>
      <c r="Q85" s="193"/>
      <c r="R85" s="186"/>
      <c r="S85" s="197">
        <f>+J85</f>
        <v>7654.7935979925851</v>
      </c>
      <c r="T85" s="194"/>
      <c r="U85" s="205"/>
      <c r="AA85" s="58">
        <v>-0.33698629768156163</v>
      </c>
      <c r="AB85" s="58"/>
      <c r="AC85" s="58"/>
    </row>
    <row r="86" spans="3:31" ht="14.25" x14ac:dyDescent="0.2">
      <c r="C86" s="207" t="s">
        <v>134</v>
      </c>
      <c r="D86" s="208" t="s">
        <v>30</v>
      </c>
      <c r="E86" s="209"/>
      <c r="F86" s="210"/>
      <c r="G86" s="211"/>
      <c r="H86" s="212"/>
      <c r="I86" s="212" t="e">
        <f>I81+I65+I85</f>
        <v>#REF!</v>
      </c>
      <c r="J86" s="213">
        <f>SUM(J14:J25)+SUM(J28:J50)+SUM(J53)+SUM(J57:J58)+SUM(J61:J63)+SUM(J70:J74)+SUM(J77)+SUM(J83)</f>
        <v>10835180.035894023</v>
      </c>
      <c r="K86" s="214">
        <v>8.1809772619778727</v>
      </c>
      <c r="L86" s="214">
        <f>L65*$J$65/$J$86+L81*$J$81/$J$86+L85*$J$85/$J$86</f>
        <v>3.4988999902014815</v>
      </c>
      <c r="M86" s="214">
        <f>M65*$J$65/$J$86+M81*$J$81/$J$86+M85*$J$85/$J$86</f>
        <v>3.358586852264474</v>
      </c>
      <c r="N86" s="215"/>
      <c r="O86" s="216">
        <f>O81+O65+O85</f>
        <v>1</v>
      </c>
      <c r="P86" s="216"/>
      <c r="Q86" s="217"/>
      <c r="R86" s="218" t="s">
        <v>135</v>
      </c>
      <c r="S86" s="219">
        <f>+J86</f>
        <v>10835180.035894023</v>
      </c>
      <c r="T86" s="216" t="s">
        <v>136</v>
      </c>
      <c r="U86" s="205"/>
      <c r="AA86" s="58">
        <v>-4.6268998205777123E-2</v>
      </c>
      <c r="AB86" s="58"/>
      <c r="AC86" s="58"/>
      <c r="AD86" s="220"/>
      <c r="AE86" s="59"/>
    </row>
    <row r="87" spans="3:31" ht="13.5" thickBot="1" x14ac:dyDescent="0.25">
      <c r="C87" s="221" t="s">
        <v>137</v>
      </c>
      <c r="D87" s="222">
        <v>4183.93</v>
      </c>
      <c r="P87" s="3"/>
      <c r="Q87" s="3"/>
      <c r="R87" s="3"/>
      <c r="S87" s="3"/>
    </row>
    <row r="88" spans="3:31" ht="15.75" thickTop="1" thickBot="1" x14ac:dyDescent="0.25">
      <c r="C88" s="223" t="s">
        <v>132</v>
      </c>
      <c r="D88" s="224">
        <v>1.0392999999999999</v>
      </c>
      <c r="F88" s="225" t="s">
        <v>138</v>
      </c>
      <c r="G88" s="225"/>
      <c r="H88" s="226"/>
      <c r="I88" s="227"/>
      <c r="J88" s="228"/>
      <c r="K88" s="227"/>
      <c r="L88" s="225"/>
      <c r="M88" s="225"/>
      <c r="O88" s="205" t="s">
        <v>136</v>
      </c>
      <c r="P88" s="3"/>
      <c r="Q88" s="3"/>
      <c r="AB88" s="5"/>
    </row>
    <row r="89" spans="3:31" ht="15" thickTop="1" x14ac:dyDescent="0.2">
      <c r="C89" s="229" t="s">
        <v>35</v>
      </c>
      <c r="D89" s="230">
        <v>378.16289999999998</v>
      </c>
      <c r="F89" s="225" t="s">
        <v>139</v>
      </c>
      <c r="G89" s="225"/>
      <c r="H89" s="226"/>
      <c r="I89" s="225"/>
      <c r="J89" s="225"/>
      <c r="K89" s="227"/>
      <c r="L89" s="231"/>
      <c r="M89" s="225"/>
      <c r="O89" s="205"/>
      <c r="P89" s="3"/>
      <c r="Q89" s="3"/>
      <c r="AB89" s="5"/>
    </row>
    <row r="90" spans="3:31" ht="26.25" customHeight="1" x14ac:dyDescent="0.2">
      <c r="C90" s="232" t="s">
        <v>140</v>
      </c>
      <c r="D90" s="233" t="s">
        <v>141</v>
      </c>
      <c r="F90" s="234" t="s">
        <v>142</v>
      </c>
      <c r="G90" s="234"/>
      <c r="H90" s="234"/>
      <c r="I90" s="234"/>
      <c r="J90" s="234"/>
      <c r="K90" s="234"/>
      <c r="L90" s="234"/>
      <c r="M90" s="234"/>
      <c r="N90" s="235"/>
      <c r="AB90" s="87"/>
    </row>
    <row r="91" spans="3:31" ht="31.5" customHeight="1" x14ac:dyDescent="0.2">
      <c r="C91" s="233" t="s">
        <v>143</v>
      </c>
      <c r="D91" s="233" t="s">
        <v>144</v>
      </c>
      <c r="F91" s="236" t="s">
        <v>145</v>
      </c>
      <c r="G91" s="236"/>
      <c r="H91" s="236"/>
      <c r="I91" s="236"/>
      <c r="J91" s="236"/>
      <c r="K91" s="236"/>
      <c r="L91" s="236"/>
      <c r="M91" s="236"/>
      <c r="N91" s="235"/>
    </row>
    <row r="92" spans="3:31" ht="15.75" thickBot="1" x14ac:dyDescent="0.3">
      <c r="C92" s="233" t="s">
        <v>146</v>
      </c>
      <c r="D92" s="237"/>
      <c r="F92" s="238" t="s">
        <v>147</v>
      </c>
      <c r="G92" s="239"/>
      <c r="H92" s="239"/>
      <c r="I92" s="239"/>
      <c r="J92" s="239"/>
      <c r="K92" s="239"/>
      <c r="L92" s="239"/>
      <c r="M92" s="239"/>
    </row>
    <row r="93" spans="3:31" x14ac:dyDescent="0.2">
      <c r="C93" s="233" t="s">
        <v>148</v>
      </c>
      <c r="D93" s="240"/>
      <c r="O93" s="205"/>
      <c r="Q93" s="3"/>
      <c r="R93" s="86"/>
    </row>
    <row r="94" spans="3:31" x14ac:dyDescent="0.2">
      <c r="F94" s="86"/>
      <c r="Q94" s="3"/>
      <c r="R94" s="86"/>
    </row>
    <row r="95" spans="3:31" x14ac:dyDescent="0.2">
      <c r="Q95" s="3"/>
    </row>
    <row r="96" spans="3:31" x14ac:dyDescent="0.2">
      <c r="D96" s="241"/>
      <c r="J96" s="242"/>
    </row>
    <row r="97" spans="4:10" x14ac:dyDescent="0.2">
      <c r="D97" s="241"/>
    </row>
    <row r="98" spans="4:10" x14ac:dyDescent="0.2">
      <c r="J98" s="243"/>
    </row>
    <row r="99" spans="4:10" x14ac:dyDescent="0.2">
      <c r="J99" s="243"/>
    </row>
    <row r="100" spans="4:10" ht="15" x14ac:dyDescent="0.25">
      <c r="J100"/>
    </row>
    <row r="101" spans="4:10" x14ac:dyDescent="0.2">
      <c r="J101" s="243"/>
    </row>
    <row r="102" spans="4:10" x14ac:dyDescent="0.2">
      <c r="J102" s="243"/>
    </row>
    <row r="103" spans="4:10" x14ac:dyDescent="0.2">
      <c r="J103" s="243"/>
    </row>
  </sheetData>
  <mergeCells count="3">
    <mergeCell ref="F90:M90"/>
    <mergeCell ref="F91:M91"/>
    <mergeCell ref="F92:M92"/>
  </mergeCells>
  <conditionalFormatting sqref="J14:J22 K22:M25 J25 J26:N26 J28:K31 J53:M53 J57:M58 J61:M63 J70:J74 K73:M74 J83">
    <cfRule type="cellIs" dxfId="3" priority="4" stopIfTrue="1" operator="equal">
      <formula>0</formula>
    </cfRule>
  </conditionalFormatting>
  <conditionalFormatting sqref="J28:J34">
    <cfRule type="cellIs" dxfId="2" priority="2" stopIfTrue="1" operator="equal">
      <formula>0</formula>
    </cfRule>
  </conditionalFormatting>
  <conditionalFormatting sqref="J86">
    <cfRule type="expression" dxfId="1" priority="3" stopIfTrue="1">
      <formula>#REF!&lt;&gt;#REF!</formula>
    </cfRule>
  </conditionalFormatting>
  <conditionalFormatting sqref="J77:M77">
    <cfRule type="cellIs" dxfId="0" priority="1" stopIfTrue="1" operator="equal">
      <formula>0</formula>
    </cfRule>
  </conditionalFormatting>
  <hyperlinks>
    <hyperlink ref="C90" r:id="rId1" xr:uid="{F4A6E6A1-35AB-4509-8BE3-CD5113B50747}"/>
  </hyperlinks>
  <printOptions horizontalCentered="1" verticalCentered="1"/>
  <pageMargins left="0.25" right="0.25" top="0.75" bottom="0.75" header="0.3" footer="0.3"/>
  <pageSetup paperSize="3" scale="82" orientation="portrait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5</vt:i4>
      </vt:variant>
    </vt:vector>
  </HeadingPairs>
  <TitlesOfParts>
    <vt:vector size="8" baseType="lpstr">
      <vt:lpstr>IDC</vt:lpstr>
      <vt:lpstr>IDD</vt:lpstr>
      <vt:lpstr>CARACT. PORT. PASIVOS Webpage</vt:lpstr>
      <vt:lpstr>'CARACT. PORT. PASIVOS Webpage'!Área_de_impresión</vt:lpstr>
      <vt:lpstr>IDC!Área_de_impresión</vt:lpstr>
      <vt:lpstr>IDD!Área_de_impresión</vt:lpstr>
      <vt:lpstr>'CARACT. PORT. PASIVOS Webpage'!Monedas</vt:lpstr>
      <vt:lpstr>'CARACT. PORT. PASIVOS Webpage'!Títulos_a_imprimir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 Pablo Rocha Gahona</dc:creator>
  <cp:lastModifiedBy>Juan Pablo Rocha Gahona</cp:lastModifiedBy>
  <cp:lastPrinted>2025-02-08T02:22:33Z</cp:lastPrinted>
  <dcterms:created xsi:type="dcterms:W3CDTF">2025-02-08T02:18:11Z</dcterms:created>
  <dcterms:modified xsi:type="dcterms:W3CDTF">2025-02-08T02:22:39Z</dcterms:modified>
</cp:coreProperties>
</file>